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іки (січ)" sheetId="29" r:id="rId1"/>
    <sheet name="Вакц (січ)" sheetId="30" r:id="rId2"/>
    <sheet name="Ліки (лют)" sheetId="31" r:id="rId3"/>
    <sheet name="Вакц (лют)" sheetId="32" r:id="rId4"/>
  </sheets>
  <calcPr calcId="124519" refMode="R1C1"/>
</workbook>
</file>

<file path=xl/calcChain.xml><?xml version="1.0" encoding="utf-8"?>
<calcChain xmlns="http://schemas.openxmlformats.org/spreadsheetml/2006/main">
  <c r="AY34" i="31"/>
  <c r="AY23"/>
  <c r="AP25"/>
  <c r="AP16"/>
  <c r="AP29"/>
  <c r="AP27"/>
  <c r="AP11"/>
  <c r="AP23"/>
  <c r="AO22"/>
  <c r="AL5"/>
  <c r="AL23"/>
  <c r="AJ23"/>
  <c r="AJ30"/>
  <c r="AI21"/>
  <c r="AH16"/>
  <c r="AH31"/>
  <c r="AI7"/>
  <c r="AI34"/>
  <c r="AG5"/>
  <c r="AE31"/>
  <c r="AE16"/>
  <c r="AE23"/>
  <c r="AE30"/>
  <c r="AE7"/>
  <c r="AE5"/>
  <c r="AE29"/>
  <c r="AE27"/>
  <c r="AE21"/>
  <c r="AE19"/>
  <c r="AE34"/>
  <c r="AE9"/>
  <c r="AE26"/>
  <c r="AE11"/>
  <c r="AE10"/>
  <c r="AC12"/>
  <c r="AB19"/>
  <c r="AA29"/>
  <c r="X10"/>
  <c r="V16"/>
  <c r="V9"/>
  <c r="V26"/>
  <c r="V25"/>
  <c r="V23"/>
  <c r="V10"/>
  <c r="T16"/>
  <c r="T29"/>
  <c r="T27"/>
  <c r="T19"/>
  <c r="T34"/>
  <c r="T9"/>
  <c r="T26"/>
  <c r="T11"/>
  <c r="T14"/>
  <c r="T25"/>
  <c r="T10"/>
  <c r="P16"/>
  <c r="P29"/>
  <c r="P27"/>
  <c r="P28"/>
  <c r="P9"/>
  <c r="P26"/>
  <c r="P11"/>
  <c r="P14"/>
  <c r="P25"/>
  <c r="P23"/>
  <c r="P12"/>
  <c r="P7"/>
  <c r="P30"/>
  <c r="P5"/>
  <c r="Q31"/>
  <c r="Q34"/>
  <c r="Q23"/>
  <c r="Q7"/>
  <c r="Q5"/>
  <c r="Q16"/>
  <c r="Q29"/>
  <c r="Q27"/>
  <c r="Q19"/>
  <c r="Q9"/>
  <c r="Q26"/>
  <c r="Q11"/>
  <c r="Q14"/>
  <c r="Q25"/>
  <c r="Q30"/>
  <c r="Q10"/>
  <c r="Q12"/>
  <c r="Q21"/>
  <c r="N25"/>
  <c r="O14"/>
  <c r="N7"/>
  <c r="L23"/>
  <c r="L12"/>
  <c r="I30"/>
  <c r="I34"/>
  <c r="H7"/>
  <c r="H28"/>
  <c r="H9"/>
  <c r="H26"/>
  <c r="H23"/>
  <c r="F5"/>
  <c r="F14"/>
  <c r="F23"/>
  <c r="D11"/>
  <c r="D16"/>
  <c r="D29"/>
  <c r="D27"/>
  <c r="D9"/>
  <c r="D26"/>
  <c r="D14"/>
  <c r="D25"/>
  <c r="D12"/>
  <c r="D30"/>
  <c r="D10"/>
  <c r="D5"/>
  <c r="D21"/>
  <c r="D7"/>
  <c r="D23"/>
  <c r="D19"/>
  <c r="D34"/>
  <c r="B5"/>
  <c r="B37" s="1"/>
  <c r="B16"/>
  <c r="B21"/>
  <c r="B9"/>
  <c r="B26"/>
  <c r="H5" i="32"/>
  <c r="H20"/>
  <c r="H7"/>
  <c r="H19"/>
  <c r="H23"/>
  <c r="H9"/>
  <c r="H12"/>
  <c r="H18"/>
  <c r="H17"/>
  <c r="H24"/>
  <c r="H15"/>
  <c r="H8"/>
  <c r="H10"/>
  <c r="H6"/>
  <c r="H22"/>
  <c r="H16"/>
  <c r="H25"/>
  <c r="H14"/>
  <c r="H21"/>
  <c r="H11"/>
  <c r="H13"/>
  <c r="M6"/>
  <c r="M5"/>
  <c r="M22"/>
  <c r="M20"/>
  <c r="M16"/>
  <c r="M25"/>
  <c r="M7"/>
  <c r="M19"/>
  <c r="M23"/>
  <c r="M9"/>
  <c r="M21"/>
  <c r="M14"/>
  <c r="M12"/>
  <c r="M18"/>
  <c r="M17"/>
  <c r="M24"/>
  <c r="M15"/>
  <c r="M13"/>
  <c r="M10"/>
  <c r="L28"/>
  <c r="L22"/>
  <c r="L20"/>
  <c r="L23"/>
  <c r="L21"/>
  <c r="L14"/>
  <c r="L12"/>
  <c r="L18"/>
  <c r="L17"/>
  <c r="L13"/>
  <c r="L10"/>
  <c r="L6"/>
  <c r="L5"/>
  <c r="K20"/>
  <c r="K25"/>
  <c r="K19"/>
  <c r="K23"/>
  <c r="K21"/>
  <c r="K18"/>
  <c r="I23"/>
  <c r="I6"/>
  <c r="I5"/>
  <c r="I22"/>
  <c r="I20"/>
  <c r="I16"/>
  <c r="I25"/>
  <c r="I7"/>
  <c r="I19"/>
  <c r="I9"/>
  <c r="I21"/>
  <c r="I14"/>
  <c r="I28" s="1"/>
  <c r="I12"/>
  <c r="I18"/>
  <c r="I17"/>
  <c r="I15"/>
  <c r="I8"/>
  <c r="I13"/>
  <c r="I11"/>
  <c r="I10"/>
  <c r="G22"/>
  <c r="G20"/>
  <c r="G25"/>
  <c r="G7"/>
  <c r="G19"/>
  <c r="G23"/>
  <c r="G9"/>
  <c r="G21"/>
  <c r="G14"/>
  <c r="G17"/>
  <c r="G15"/>
  <c r="G8"/>
  <c r="G11"/>
  <c r="G13"/>
  <c r="G10"/>
  <c r="G6"/>
  <c r="G12"/>
  <c r="G18"/>
  <c r="F22"/>
  <c r="F16"/>
  <c r="F25"/>
  <c r="F7"/>
  <c r="F9"/>
  <c r="F14"/>
  <c r="F12"/>
  <c r="F18"/>
  <c r="F15"/>
  <c r="B28"/>
  <c r="B7"/>
  <c r="B16"/>
  <c r="B19"/>
  <c r="B21"/>
  <c r="B12"/>
  <c r="B18"/>
  <c r="B24"/>
  <c r="B6"/>
  <c r="B25"/>
  <c r="B15"/>
  <c r="B22"/>
  <c r="B23"/>
  <c r="B9"/>
  <c r="B8"/>
  <c r="C23"/>
  <c r="C13"/>
  <c r="B13"/>
  <c r="M28"/>
  <c r="F28"/>
  <c r="E28"/>
  <c r="D28"/>
  <c r="C28"/>
  <c r="G24"/>
  <c r="K22"/>
  <c r="B17"/>
  <c r="G16"/>
  <c r="K15"/>
  <c r="J28"/>
  <c r="G28"/>
  <c r="B5"/>
  <c r="BD34" i="31"/>
  <c r="BC34"/>
  <c r="AZ34"/>
  <c r="AX34"/>
  <c r="AS34"/>
  <c r="AP34"/>
  <c r="AL34"/>
  <c r="AJ34"/>
  <c r="AH34"/>
  <c r="AG34"/>
  <c r="Y34"/>
  <c r="P34"/>
  <c r="O34"/>
  <c r="H34"/>
  <c r="F34"/>
  <c r="B34"/>
  <c r="AE33"/>
  <c r="Q33"/>
  <c r="I33"/>
  <c r="D33"/>
  <c r="AI31"/>
  <c r="BC30"/>
  <c r="AZ30"/>
  <c r="AY30"/>
  <c r="AX30"/>
  <c r="AS30"/>
  <c r="AP30"/>
  <c r="AL30"/>
  <c r="AH30"/>
  <c r="AC30"/>
  <c r="Y30"/>
  <c r="X30"/>
  <c r="T30"/>
  <c r="O30"/>
  <c r="F30"/>
  <c r="AS29"/>
  <c r="AL29"/>
  <c r="AC29"/>
  <c r="O29"/>
  <c r="AP28"/>
  <c r="AI28"/>
  <c r="AE28"/>
  <c r="AB28"/>
  <c r="T28"/>
  <c r="Q28"/>
  <c r="O28"/>
  <c r="N28"/>
  <c r="L28"/>
  <c r="F28"/>
  <c r="D28"/>
  <c r="AS27"/>
  <c r="AL27"/>
  <c r="AB27"/>
  <c r="N27"/>
  <c r="I27"/>
  <c r="F27"/>
  <c r="BC26"/>
  <c r="AX26"/>
  <c r="AS26"/>
  <c r="AP26"/>
  <c r="AL26"/>
  <c r="Y26"/>
  <c r="O26"/>
  <c r="N26"/>
  <c r="J26"/>
  <c r="F26"/>
  <c r="BC25"/>
  <c r="AZ25"/>
  <c r="AY25"/>
  <c r="AL25"/>
  <c r="AJ25"/>
  <c r="AG25"/>
  <c r="AE25"/>
  <c r="AC25"/>
  <c r="AB25"/>
  <c r="AA25"/>
  <c r="O25"/>
  <c r="J25"/>
  <c r="I25"/>
  <c r="H25"/>
  <c r="B25"/>
  <c r="AJ24"/>
  <c r="AI24"/>
  <c r="Q24"/>
  <c r="BC23"/>
  <c r="AS23"/>
  <c r="O23"/>
  <c r="AI22"/>
  <c r="BE21"/>
  <c r="BD21"/>
  <c r="BC21"/>
  <c r="AY21"/>
  <c r="AX21"/>
  <c r="AW21"/>
  <c r="AS21"/>
  <c r="AR21"/>
  <c r="AQ21"/>
  <c r="AP21"/>
  <c r="AO21"/>
  <c r="AL21"/>
  <c r="AJ21"/>
  <c r="AH21"/>
  <c r="AG21"/>
  <c r="AF21"/>
  <c r="AB21"/>
  <c r="AA21"/>
  <c r="Z21"/>
  <c r="V21"/>
  <c r="U21"/>
  <c r="T21"/>
  <c r="S21"/>
  <c r="P21"/>
  <c r="O21"/>
  <c r="L21"/>
  <c r="J21"/>
  <c r="I21"/>
  <c r="H21"/>
  <c r="F21"/>
  <c r="E21"/>
  <c r="AY20"/>
  <c r="AS20"/>
  <c r="AR20"/>
  <c r="AP20"/>
  <c r="AL20"/>
  <c r="AJ20"/>
  <c r="AH20"/>
  <c r="AE20"/>
  <c r="X20"/>
  <c r="T20"/>
  <c r="Q20"/>
  <c r="P20"/>
  <c r="O20"/>
  <c r="H20"/>
  <c r="D20"/>
  <c r="BC19"/>
  <c r="AZ19"/>
  <c r="AY19"/>
  <c r="AS19"/>
  <c r="AP19"/>
  <c r="AL19"/>
  <c r="AJ19"/>
  <c r="AC19"/>
  <c r="W19"/>
  <c r="V19"/>
  <c r="P19"/>
  <c r="O19"/>
  <c r="N19"/>
  <c r="BE18"/>
  <c r="AI18"/>
  <c r="AE18"/>
  <c r="O18"/>
  <c r="AJ17"/>
  <c r="BD16"/>
  <c r="AY16"/>
  <c r="AR16"/>
  <c r="AL16"/>
  <c r="AC16"/>
  <c r="AB16"/>
  <c r="AA16"/>
  <c r="X16"/>
  <c r="O16"/>
  <c r="N16"/>
  <c r="L16"/>
  <c r="H16"/>
  <c r="F16"/>
  <c r="BC14"/>
  <c r="AS14"/>
  <c r="AP14"/>
  <c r="AL14"/>
  <c r="AE14"/>
  <c r="N14"/>
  <c r="L14"/>
  <c r="H14"/>
  <c r="AA13"/>
  <c r="L13"/>
  <c r="BC12"/>
  <c r="AZ12"/>
  <c r="AS12"/>
  <c r="AP12"/>
  <c r="AJ12"/>
  <c r="AI12"/>
  <c r="AB12"/>
  <c r="AA12"/>
  <c r="Y12"/>
  <c r="X12"/>
  <c r="V12"/>
  <c r="T12"/>
  <c r="O12"/>
  <c r="N12"/>
  <c r="J12"/>
  <c r="I12"/>
  <c r="F12"/>
  <c r="AZ11"/>
  <c r="AY11"/>
  <c r="AS11"/>
  <c r="AL11"/>
  <c r="AJ11"/>
  <c r="AI11"/>
  <c r="AG11"/>
  <c r="AF11"/>
  <c r="AC11"/>
  <c r="AB11"/>
  <c r="AA11"/>
  <c r="Y11"/>
  <c r="X11"/>
  <c r="O11"/>
  <c r="H11"/>
  <c r="F11"/>
  <c r="B11"/>
  <c r="BC10"/>
  <c r="AX10"/>
  <c r="AS10"/>
  <c r="AP10"/>
  <c r="AJ10"/>
  <c r="AI10"/>
  <c r="AH10"/>
  <c r="AA10"/>
  <c r="Y10"/>
  <c r="P10"/>
  <c r="O10"/>
  <c r="N10"/>
  <c r="B10"/>
  <c r="AY9"/>
  <c r="AS9"/>
  <c r="AP9"/>
  <c r="AL9"/>
  <c r="Y9"/>
  <c r="O9"/>
  <c r="N9"/>
  <c r="J9"/>
  <c r="F9"/>
  <c r="AI8"/>
  <c r="AE8"/>
  <c r="AY7"/>
  <c r="AS7"/>
  <c r="AR7"/>
  <c r="AP7"/>
  <c r="AL7"/>
  <c r="AC7"/>
  <c r="AB7"/>
  <c r="AA7"/>
  <c r="T7"/>
  <c r="O7"/>
  <c r="J7"/>
  <c r="F7"/>
  <c r="B7"/>
  <c r="AJ6"/>
  <c r="AI6"/>
  <c r="AY5"/>
  <c r="AP5"/>
  <c r="AI5"/>
  <c r="AH5"/>
  <c r="AC5"/>
  <c r="AB5"/>
  <c r="X5"/>
  <c r="T5"/>
  <c r="H5"/>
  <c r="AY5" i="29"/>
  <c r="AY25"/>
  <c r="AY16"/>
  <c r="AR21"/>
  <c r="AR5"/>
  <c r="AR19"/>
  <c r="AP27"/>
  <c r="AP9"/>
  <c r="AP25"/>
  <c r="AP23"/>
  <c r="AP19"/>
  <c r="AP14"/>
  <c r="AO12"/>
  <c r="AO21"/>
  <c r="AO22"/>
  <c r="AL5"/>
  <c r="AL21"/>
  <c r="AL19"/>
  <c r="AL23"/>
  <c r="AJ24"/>
  <c r="AJ25"/>
  <c r="AJ21"/>
  <c r="AJ18"/>
  <c r="AJ12"/>
  <c r="AJ23"/>
  <c r="AJ20"/>
  <c r="AJ5"/>
  <c r="AH7"/>
  <c r="AH16"/>
  <c r="AH10"/>
  <c r="AI28"/>
  <c r="AI31"/>
  <c r="AH30"/>
  <c r="AI18"/>
  <c r="AI24"/>
  <c r="AH5"/>
  <c r="AG23"/>
  <c r="AG10"/>
  <c r="AG25"/>
  <c r="AE22"/>
  <c r="AE19"/>
  <c r="AE16"/>
  <c r="AE25"/>
  <c r="AE7"/>
  <c r="AE5"/>
  <c r="AE29"/>
  <c r="AE27"/>
  <c r="AE21"/>
  <c r="AE28"/>
  <c r="AE34"/>
  <c r="AE9"/>
  <c r="AE26"/>
  <c r="AE11"/>
  <c r="AE14"/>
  <c r="AE23"/>
  <c r="AE30"/>
  <c r="AE12"/>
  <c r="AB5"/>
  <c r="AB16"/>
  <c r="AB29"/>
  <c r="AB27"/>
  <c r="AB25"/>
  <c r="AA25"/>
  <c r="AA12"/>
  <c r="X10"/>
  <c r="V21"/>
  <c r="T5"/>
  <c r="T29"/>
  <c r="T27"/>
  <c r="T19"/>
  <c r="T34"/>
  <c r="T9"/>
  <c r="T14"/>
  <c r="T25"/>
  <c r="T30"/>
  <c r="T10"/>
  <c r="T13"/>
  <c r="Q24"/>
  <c r="Q7"/>
  <c r="Q5"/>
  <c r="Q16"/>
  <c r="Q29"/>
  <c r="Q27"/>
  <c r="Q19"/>
  <c r="Q28"/>
  <c r="Q9"/>
  <c r="Q26"/>
  <c r="Q11"/>
  <c r="Q14"/>
  <c r="Q25"/>
  <c r="Q23"/>
  <c r="Q20"/>
  <c r="Q12"/>
  <c r="Q21"/>
  <c r="P16"/>
  <c r="P27"/>
  <c r="P28"/>
  <c r="P34"/>
  <c r="P9"/>
  <c r="P26"/>
  <c r="P11"/>
  <c r="P14"/>
  <c r="P25"/>
  <c r="P10"/>
  <c r="P13"/>
  <c r="P19"/>
  <c r="P23"/>
  <c r="P5"/>
  <c r="N27"/>
  <c r="N25"/>
  <c r="O5"/>
  <c r="O27"/>
  <c r="O13"/>
  <c r="N16"/>
  <c r="N14"/>
  <c r="I27"/>
  <c r="I25"/>
  <c r="I19"/>
  <c r="H7"/>
  <c r="H5"/>
  <c r="H29"/>
  <c r="H34"/>
  <c r="H9"/>
  <c r="H14"/>
  <c r="H25"/>
  <c r="H23"/>
  <c r="H21"/>
  <c r="F16"/>
  <c r="F27"/>
  <c r="F14"/>
  <c r="F23"/>
  <c r="D16"/>
  <c r="D29"/>
  <c r="D27"/>
  <c r="D28"/>
  <c r="D26"/>
  <c r="D11"/>
  <c r="D14"/>
  <c r="D25"/>
  <c r="D23"/>
  <c r="D30"/>
  <c r="D20"/>
  <c r="D12"/>
  <c r="D5"/>
  <c r="D21"/>
  <c r="D7"/>
  <c r="D9"/>
  <c r="B5"/>
  <c r="B16"/>
  <c r="B21"/>
  <c r="B9"/>
  <c r="L28" i="30"/>
  <c r="L23"/>
  <c r="K6"/>
  <c r="K22"/>
  <c r="K20"/>
  <c r="K7"/>
  <c r="K12"/>
  <c r="K19"/>
  <c r="K23"/>
  <c r="K9"/>
  <c r="K21"/>
  <c r="K14"/>
  <c r="K18"/>
  <c r="K13"/>
  <c r="J7"/>
  <c r="I6"/>
  <c r="I20"/>
  <c r="I16"/>
  <c r="I7"/>
  <c r="I19"/>
  <c r="I23"/>
  <c r="I9"/>
  <c r="I21"/>
  <c r="I14"/>
  <c r="I12"/>
  <c r="I17"/>
  <c r="I15"/>
  <c r="I13"/>
  <c r="I10"/>
  <c r="H8"/>
  <c r="H6"/>
  <c r="H25"/>
  <c r="H18"/>
  <c r="H17"/>
  <c r="H20"/>
  <c r="H19"/>
  <c r="H9"/>
  <c r="H21"/>
  <c r="H10"/>
  <c r="H7"/>
  <c r="H23"/>
  <c r="H14"/>
  <c r="H12"/>
  <c r="G6"/>
  <c r="G5"/>
  <c r="G22"/>
  <c r="G16"/>
  <c r="G19"/>
  <c r="G23"/>
  <c r="G9"/>
  <c r="G21"/>
  <c r="G14"/>
  <c r="G12"/>
  <c r="G17"/>
  <c r="G15"/>
  <c r="G13"/>
  <c r="G10"/>
  <c r="G18"/>
  <c r="G8"/>
  <c r="B5"/>
  <c r="B16"/>
  <c r="B7"/>
  <c r="B19"/>
  <c r="B21"/>
  <c r="B12"/>
  <c r="B18"/>
  <c r="B17"/>
  <c r="B24"/>
  <c r="B15"/>
  <c r="B11"/>
  <c r="B13"/>
  <c r="B6"/>
  <c r="B25"/>
  <c r="C28"/>
  <c r="E28"/>
  <c r="D28"/>
  <c r="K25"/>
  <c r="J25"/>
  <c r="I25"/>
  <c r="G25"/>
  <c r="K24"/>
  <c r="I24"/>
  <c r="H24"/>
  <c r="G24"/>
  <c r="I22"/>
  <c r="H22"/>
  <c r="G20"/>
  <c r="I18"/>
  <c r="H16"/>
  <c r="K15"/>
  <c r="H15"/>
  <c r="H13"/>
  <c r="G11"/>
  <c r="K10"/>
  <c r="I8"/>
  <c r="G7"/>
  <c r="J5"/>
  <c r="J28" s="1"/>
  <c r="I5"/>
  <c r="I28" s="1"/>
  <c r="H5"/>
  <c r="H28" s="1"/>
  <c r="F28"/>
  <c r="BD34" i="29"/>
  <c r="BC34"/>
  <c r="AZ34"/>
  <c r="AY34"/>
  <c r="AX34"/>
  <c r="AS34"/>
  <c r="AP34"/>
  <c r="AL34"/>
  <c r="AJ34"/>
  <c r="AI34"/>
  <c r="AH34"/>
  <c r="AG34"/>
  <c r="Y34"/>
  <c r="U34"/>
  <c r="Q34"/>
  <c r="O34"/>
  <c r="I34"/>
  <c r="F34"/>
  <c r="D34"/>
  <c r="B34"/>
  <c r="AE33"/>
  <c r="Q33"/>
  <c r="I33"/>
  <c r="D33"/>
  <c r="AZ31"/>
  <c r="AH31"/>
  <c r="AE31"/>
  <c r="BC30"/>
  <c r="AZ30"/>
  <c r="AY30"/>
  <c r="AX30"/>
  <c r="AS30"/>
  <c r="AR30"/>
  <c r="AP30"/>
  <c r="AL30"/>
  <c r="AJ30"/>
  <c r="AC30"/>
  <c r="Y30"/>
  <c r="X30"/>
  <c r="Q30"/>
  <c r="P30"/>
  <c r="O30"/>
  <c r="I30"/>
  <c r="F30"/>
  <c r="AZ29"/>
  <c r="AS29"/>
  <c r="AP29"/>
  <c r="AL29"/>
  <c r="AC29"/>
  <c r="AA29"/>
  <c r="P29"/>
  <c r="O29"/>
  <c r="J29"/>
  <c r="AP28"/>
  <c r="AB28"/>
  <c r="Y28"/>
  <c r="T28"/>
  <c r="O28"/>
  <c r="N28"/>
  <c r="L28"/>
  <c r="H28"/>
  <c r="F28"/>
  <c r="AS27"/>
  <c r="AL27"/>
  <c r="BC26"/>
  <c r="AX26"/>
  <c r="AS26"/>
  <c r="AP26"/>
  <c r="AL26"/>
  <c r="Y26"/>
  <c r="V26"/>
  <c r="T26"/>
  <c r="O26"/>
  <c r="N26"/>
  <c r="J26"/>
  <c r="H26"/>
  <c r="F26"/>
  <c r="BC25"/>
  <c r="AZ25"/>
  <c r="AL25"/>
  <c r="AH25"/>
  <c r="AC25"/>
  <c r="O25"/>
  <c r="J25"/>
  <c r="B25"/>
  <c r="BC23"/>
  <c r="AY23"/>
  <c r="AS23"/>
  <c r="O23"/>
  <c r="AI22"/>
  <c r="BE21"/>
  <c r="BD21"/>
  <c r="BC21"/>
  <c r="AY21"/>
  <c r="AX21"/>
  <c r="AW21"/>
  <c r="AS21"/>
  <c r="AQ21"/>
  <c r="AP21"/>
  <c r="AI21"/>
  <c r="AH21"/>
  <c r="AG21"/>
  <c r="AF21"/>
  <c r="AB21"/>
  <c r="AA21"/>
  <c r="Z21"/>
  <c r="Y21"/>
  <c r="U21"/>
  <c r="T21"/>
  <c r="S21"/>
  <c r="P21"/>
  <c r="O21"/>
  <c r="L21"/>
  <c r="J21"/>
  <c r="I21"/>
  <c r="F21"/>
  <c r="E21"/>
  <c r="AY20"/>
  <c r="AS20"/>
  <c r="AR20"/>
  <c r="AP20"/>
  <c r="AL20"/>
  <c r="AH20"/>
  <c r="AE20"/>
  <c r="X20"/>
  <c r="T20"/>
  <c r="P20"/>
  <c r="O20"/>
  <c r="H20"/>
  <c r="BC19"/>
  <c r="AZ19"/>
  <c r="AY19"/>
  <c r="AS19"/>
  <c r="AJ19"/>
  <c r="AH19"/>
  <c r="AC19"/>
  <c r="W19"/>
  <c r="V19"/>
  <c r="O19"/>
  <c r="N19"/>
  <c r="D19"/>
  <c r="BE18"/>
  <c r="AH18"/>
  <c r="AE18"/>
  <c r="O18"/>
  <c r="I18"/>
  <c r="AJ17"/>
  <c r="BD16"/>
  <c r="AR16"/>
  <c r="AP16"/>
  <c r="AL16"/>
  <c r="AC16"/>
  <c r="AA16"/>
  <c r="X16"/>
  <c r="T16"/>
  <c r="O16"/>
  <c r="L16"/>
  <c r="H16"/>
  <c r="BC14"/>
  <c r="AS14"/>
  <c r="AL14"/>
  <c r="O14"/>
  <c r="L14"/>
  <c r="AB13"/>
  <c r="AA13"/>
  <c r="L13"/>
  <c r="BC12"/>
  <c r="AZ12"/>
  <c r="AS12"/>
  <c r="AR12"/>
  <c r="AP12"/>
  <c r="AI12"/>
  <c r="AH12"/>
  <c r="AC12"/>
  <c r="AB12"/>
  <c r="Y12"/>
  <c r="X12"/>
  <c r="V12"/>
  <c r="T12"/>
  <c r="P12"/>
  <c r="O12"/>
  <c r="N12"/>
  <c r="L12"/>
  <c r="J12"/>
  <c r="I12"/>
  <c r="F12"/>
  <c r="AZ11"/>
  <c r="AY11"/>
  <c r="AS11"/>
  <c r="AP11"/>
  <c r="AL11"/>
  <c r="AJ11"/>
  <c r="AI11"/>
  <c r="AH11"/>
  <c r="AG11"/>
  <c r="AF11"/>
  <c r="AC11"/>
  <c r="AB11"/>
  <c r="AA11"/>
  <c r="Y11"/>
  <c r="X11"/>
  <c r="T11"/>
  <c r="O11"/>
  <c r="H11"/>
  <c r="F11"/>
  <c r="B11"/>
  <c r="BD10"/>
  <c r="BC10"/>
  <c r="AX10"/>
  <c r="AS10"/>
  <c r="AR10"/>
  <c r="AP10"/>
  <c r="AO10"/>
  <c r="AJ10"/>
  <c r="AI10"/>
  <c r="AE10"/>
  <c r="AA10"/>
  <c r="Y10"/>
  <c r="V10"/>
  <c r="Q10"/>
  <c r="O10"/>
  <c r="N10"/>
  <c r="F10"/>
  <c r="D10"/>
  <c r="B10"/>
  <c r="BC9"/>
  <c r="AY9"/>
  <c r="AS9"/>
  <c r="AL9"/>
  <c r="AI9"/>
  <c r="AA9"/>
  <c r="Y9"/>
  <c r="O9"/>
  <c r="N9"/>
  <c r="J9"/>
  <c r="F9"/>
  <c r="AI8"/>
  <c r="AE8"/>
  <c r="BC7"/>
  <c r="AY7"/>
  <c r="AX7"/>
  <c r="AS7"/>
  <c r="AR7"/>
  <c r="AP7"/>
  <c r="AL7"/>
  <c r="AI7"/>
  <c r="AC7"/>
  <c r="AB7"/>
  <c r="AA7"/>
  <c r="T7"/>
  <c r="P7"/>
  <c r="O7"/>
  <c r="N7"/>
  <c r="J7"/>
  <c r="F7"/>
  <c r="B7"/>
  <c r="AJ6"/>
  <c r="AI6"/>
  <c r="AP5"/>
  <c r="AO5"/>
  <c r="AI5"/>
  <c r="AG5"/>
  <c r="AC5"/>
  <c r="X5"/>
  <c r="V5"/>
  <c r="F5"/>
  <c r="B37"/>
  <c r="H28" i="32" l="1"/>
  <c r="P28" s="1"/>
  <c r="K28"/>
  <c r="M28" i="30"/>
  <c r="K28"/>
  <c r="G28"/>
  <c r="B28"/>
  <c r="P28" l="1"/>
</calcChain>
</file>

<file path=xl/sharedStrings.xml><?xml version="1.0" encoding="utf-8"?>
<sst xmlns="http://schemas.openxmlformats.org/spreadsheetml/2006/main" count="390" uniqueCount="113">
  <si>
    <t>Байбузи</t>
  </si>
  <si>
    <t>Березняки</t>
  </si>
  <si>
    <t>Будище</t>
  </si>
  <si>
    <t>Од.вим.</t>
  </si>
  <si>
    <t>Бузуків</t>
  </si>
  <si>
    <t>Вергуни</t>
  </si>
  <si>
    <t>Геронимівка</t>
  </si>
  <si>
    <t>Дубіївка</t>
  </si>
  <si>
    <t>Думанці</t>
  </si>
  <si>
    <t>Кумейки</t>
  </si>
  <si>
    <t>Леськи</t>
  </si>
  <si>
    <t>Лозівок</t>
  </si>
  <si>
    <t>Мошни</t>
  </si>
  <si>
    <t>Нечаївка</t>
  </si>
  <si>
    <t>Первомайськ</t>
  </si>
  <si>
    <t>Сагунівка</t>
  </si>
  <si>
    <t>Свидівок</t>
  </si>
  <si>
    <t>Сокирно</t>
  </si>
  <si>
    <t>Софіївка</t>
  </si>
  <si>
    <t>Станіславчик</t>
  </si>
  <si>
    <t>Степанки</t>
  </si>
  <si>
    <t>Тубільці</t>
  </si>
  <si>
    <t>Хацьки</t>
  </si>
  <si>
    <t>Худяки</t>
  </si>
  <si>
    <t>Хутори</t>
  </si>
  <si>
    <t>Чорнявка</t>
  </si>
  <si>
    <t>Чубіївка</t>
  </si>
  <si>
    <t>Шелепухи</t>
  </si>
  <si>
    <t>Яснозіря</t>
  </si>
  <si>
    <t>Адреналін</t>
  </si>
  <si>
    <t>Анальгін</t>
  </si>
  <si>
    <t>Вентолін</t>
  </si>
  <si>
    <t>Глюкоза</t>
  </si>
  <si>
    <t>Дексаметазон</t>
  </si>
  <si>
    <t>Димедрол</t>
  </si>
  <si>
    <t>Корглікон</t>
  </si>
  <si>
    <t>Магнія сульфат</t>
  </si>
  <si>
    <t>Натрій хлорид</t>
  </si>
  <si>
    <t>Нітрогліцерін</t>
  </si>
  <si>
    <t>Платифілін</t>
  </si>
  <si>
    <t>Но-х-ша</t>
  </si>
  <si>
    <t>Преднізолон</t>
  </si>
  <si>
    <t>Регідрон</t>
  </si>
  <si>
    <t>Рінгер</t>
  </si>
  <si>
    <t>Строфантін</t>
  </si>
  <si>
    <t>Супрастін</t>
  </si>
  <si>
    <t>Назва</t>
  </si>
  <si>
    <t>ампул</t>
  </si>
  <si>
    <t>небул</t>
  </si>
  <si>
    <t>флакон</t>
  </si>
  <si>
    <t>таблетки</t>
  </si>
  <si>
    <t>пакет</t>
  </si>
  <si>
    <t>Дофамін</t>
  </si>
  <si>
    <t>Каптоприл</t>
  </si>
  <si>
    <t>Парацетамол</t>
  </si>
  <si>
    <t>Ремантадін</t>
  </si>
  <si>
    <t>Реополіглюкін</t>
  </si>
  <si>
    <t>Фармадіпін</t>
  </si>
  <si>
    <t>Фуросемід</t>
  </si>
  <si>
    <t>Цефтріаксон</t>
  </si>
  <si>
    <t>Еуфілін</t>
  </si>
  <si>
    <t>Мезатон</t>
  </si>
  <si>
    <t>Ніфедіпін</t>
  </si>
  <si>
    <t>табл.</t>
  </si>
  <si>
    <t>Оксітоцін</t>
  </si>
  <si>
    <t>Кальція глюканат</t>
  </si>
  <si>
    <t>Амізон</t>
  </si>
  <si>
    <t>Гідрокортізон</t>
  </si>
  <si>
    <t>Кофеїн</t>
  </si>
  <si>
    <t>Метоклопрамід</t>
  </si>
  <si>
    <t>Кетолонг</t>
  </si>
  <si>
    <t>Папаверін</t>
  </si>
  <si>
    <t>Валідол</t>
  </si>
  <si>
    <t>Кордіамін</t>
  </si>
  <si>
    <t>Корвалол</t>
  </si>
  <si>
    <t>Бензогексоній</t>
  </si>
  <si>
    <t>Новокаїн</t>
  </si>
  <si>
    <t>Аспаркам</t>
  </si>
  <si>
    <t>Барбовал</t>
  </si>
  <si>
    <t>Пірацетам</t>
  </si>
  <si>
    <t>Реосорбілакт</t>
  </si>
  <si>
    <t>Тавегіл</t>
  </si>
  <si>
    <t>Гліцісед</t>
  </si>
  <si>
    <t>Етамзілат</t>
  </si>
  <si>
    <t>Корвалмент</t>
  </si>
  <si>
    <t>капсул</t>
  </si>
  <si>
    <t>Тіоцетам</t>
  </si>
  <si>
    <t>Вугілля акт.</t>
  </si>
  <si>
    <t>Гекодез</t>
  </si>
  <si>
    <t>Каптопрес</t>
  </si>
  <si>
    <t>Анатоксин АДП-М</t>
  </si>
  <si>
    <t>АКДП</t>
  </si>
  <si>
    <t xml:space="preserve"> ДІФТЕРІЇ ТА ПРАВЦЯ</t>
  </si>
  <si>
    <t>ЕУВАКС</t>
  </si>
  <si>
    <t>ІМОВАКС</t>
  </si>
  <si>
    <t>КОН'ЮГ</t>
  </si>
  <si>
    <t>ПРІОРІКС</t>
  </si>
  <si>
    <t>дози</t>
  </si>
  <si>
    <t>БЦЖ</t>
  </si>
  <si>
    <t>Поліо Сабін</t>
  </si>
  <si>
    <t>Лазікс</t>
  </si>
  <si>
    <t>М-М-Р П/КОРУ, ПАРОТИТУ ТА КРАСНУХИ</t>
  </si>
  <si>
    <t>Р.Поляна</t>
  </si>
  <si>
    <t>Ч.Cлобода</t>
  </si>
  <si>
    <t>Ч.Слобода</t>
  </si>
  <si>
    <t xml:space="preserve"> </t>
  </si>
  <si>
    <t>Наявність вакцин по КНП "ЧРЦ ПМСД" ЧРР  станом на 3 лютого 2020 року</t>
  </si>
  <si>
    <t>Анатоксин АДП</t>
  </si>
  <si>
    <t xml:space="preserve"> Дифтерії, правця та кашлюку адс з цільнокліт.кашл.комп</t>
  </si>
  <si>
    <t>Наявність ліків по КНП "ЧРЦ ПМСД" ЧРР станом на 3 лютого  2020 року</t>
  </si>
  <si>
    <t>Р. Поляна</t>
  </si>
  <si>
    <t>Наявність вакцин по КНП "ЧРЦ ПМСД" ЧРР  станом на 2 березня 2020 року</t>
  </si>
  <si>
    <t>Наявність ліків по КНП "ЧРЦ ПМСД" ЧРР станом на 2 березня 2020 року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</si>
</sst>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textRotation="255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/>
    <xf numFmtId="0" fontId="4" fillId="2" borderId="16" xfId="0" applyFont="1" applyFill="1" applyBorder="1"/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6" xfId="0" applyFont="1" applyFill="1" applyBorder="1" applyAlignment="1">
      <alignment wrapText="1"/>
    </xf>
    <xf numFmtId="0" fontId="4" fillId="2" borderId="1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31" xfId="0" applyFont="1" applyBorder="1"/>
    <xf numFmtId="0" fontId="1" fillId="0" borderId="26" xfId="0" applyFont="1" applyBorder="1"/>
    <xf numFmtId="0" fontId="2" fillId="2" borderId="0" xfId="0" applyFont="1" applyFill="1" applyBorder="1"/>
    <xf numFmtId="0" fontId="1" fillId="2" borderId="1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27" xfId="0" applyFill="1" applyBorder="1"/>
    <xf numFmtId="0" fontId="1" fillId="2" borderId="34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" fillId="2" borderId="34" xfId="0" applyFont="1" applyFill="1" applyBorder="1" applyAlignment="1">
      <alignment wrapText="1"/>
    </xf>
    <xf numFmtId="0" fontId="1" fillId="2" borderId="35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36" xfId="0" applyFill="1" applyBorder="1"/>
    <xf numFmtId="0" fontId="1" fillId="2" borderId="37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wrapText="1" readingOrder="1"/>
    </xf>
    <xf numFmtId="0" fontId="3" fillId="2" borderId="1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0" xfId="0" applyFill="1" applyAlignment="1"/>
    <xf numFmtId="0" fontId="3" fillId="2" borderId="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0" fillId="2" borderId="0" xfId="0" applyFill="1" applyBorder="1"/>
    <xf numFmtId="0" fontId="7" fillId="2" borderId="11" xfId="0" applyFont="1" applyFill="1" applyBorder="1" applyAlignment="1">
      <alignment horizontal="center"/>
    </xf>
    <xf numFmtId="0" fontId="0" fillId="2" borderId="0" xfId="0" applyFill="1" applyAlignment="1"/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2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7"/>
  <sheetViews>
    <sheetView workbookViewId="0">
      <pane xSplit="1" topLeftCell="K1" activePane="topRight" state="frozen"/>
      <selection activeCell="A3" sqref="A3"/>
      <selection pane="topRight" activeCell="AM28" sqref="AM28"/>
    </sheetView>
  </sheetViews>
  <sheetFormatPr defaultRowHeight="15"/>
  <cols>
    <col min="1" max="1" width="10" style="7" customWidth="1"/>
    <col min="2" max="2" width="5.140625" style="7" customWidth="1"/>
    <col min="3" max="3" width="4.42578125" style="7" customWidth="1"/>
    <col min="4" max="4" width="5.140625" style="7" customWidth="1"/>
    <col min="5" max="5" width="4.85546875" style="7" customWidth="1"/>
    <col min="6" max="6" width="5.5703125" style="7" customWidth="1"/>
    <col min="7" max="7" width="5.42578125" style="7" customWidth="1"/>
    <col min="8" max="8" width="5" style="7" customWidth="1"/>
    <col min="9" max="9" width="5.7109375" style="7" customWidth="1"/>
    <col min="10" max="10" width="5.5703125" style="7" customWidth="1"/>
    <col min="11" max="11" width="5" style="7" customWidth="1"/>
    <col min="12" max="12" width="5.7109375" style="7" customWidth="1"/>
    <col min="13" max="13" width="4.85546875" style="7" customWidth="1"/>
    <col min="14" max="14" width="5.28515625" style="7" customWidth="1"/>
    <col min="15" max="15" width="5" style="7" customWidth="1"/>
    <col min="16" max="16" width="6.42578125" style="7" customWidth="1"/>
    <col min="17" max="17" width="5.42578125" style="7" customWidth="1"/>
    <col min="18" max="19" width="5" style="7" customWidth="1"/>
    <col min="20" max="20" width="4.85546875" style="7" customWidth="1"/>
    <col min="21" max="21" width="5.42578125" style="7" customWidth="1"/>
    <col min="22" max="22" width="5.140625" style="7" customWidth="1"/>
    <col min="23" max="23" width="5.42578125" style="7" customWidth="1"/>
    <col min="24" max="24" width="5.5703125" style="7" customWidth="1"/>
    <col min="25" max="25" width="5" style="7" customWidth="1"/>
    <col min="26" max="26" width="5.7109375" style="7" customWidth="1"/>
    <col min="27" max="27" width="5.28515625" style="7" customWidth="1"/>
    <col min="28" max="28" width="5" style="7" customWidth="1"/>
    <col min="29" max="29" width="4.140625" style="7" customWidth="1"/>
    <col min="30" max="30" width="5.28515625" style="7" customWidth="1"/>
    <col min="31" max="31" width="6" style="7" customWidth="1"/>
    <col min="32" max="32" width="5.28515625" style="7" customWidth="1"/>
    <col min="33" max="33" width="5.7109375" style="7" customWidth="1"/>
    <col min="34" max="34" width="6" style="7" customWidth="1"/>
    <col min="35" max="35" width="6.140625" style="7" customWidth="1"/>
    <col min="36" max="36" width="6" style="7" customWidth="1"/>
    <col min="37" max="37" width="5.140625" style="7" customWidth="1"/>
    <col min="38" max="38" width="5.28515625" style="7" customWidth="1"/>
    <col min="39" max="39" width="5.140625" style="7" customWidth="1"/>
    <col min="40" max="40" width="5" style="7" customWidth="1"/>
    <col min="41" max="41" width="5.28515625" style="7" customWidth="1"/>
    <col min="42" max="42" width="6.42578125" style="7" customWidth="1"/>
    <col min="43" max="43" width="5.7109375" style="7" customWidth="1"/>
    <col min="44" max="45" width="5.42578125" style="7" customWidth="1"/>
    <col min="46" max="47" width="5.7109375" style="7" customWidth="1"/>
    <col min="48" max="48" width="5.140625" style="7" customWidth="1"/>
    <col min="49" max="49" width="5.85546875" style="7" customWidth="1"/>
    <col min="50" max="50" width="5.42578125" style="7" customWidth="1"/>
    <col min="51" max="51" width="5.7109375" style="7" customWidth="1"/>
    <col min="52" max="52" width="5.42578125" style="7" customWidth="1"/>
    <col min="53" max="53" width="5" style="7" customWidth="1"/>
    <col min="54" max="54" width="5.5703125" style="7" customWidth="1"/>
    <col min="55" max="55" width="5.7109375" style="7" customWidth="1"/>
    <col min="56" max="56" width="5.42578125" style="7" customWidth="1"/>
    <col min="57" max="57" width="6.140625" style="7" customWidth="1"/>
  </cols>
  <sheetData>
    <row r="1" spans="1:57">
      <c r="M1" s="72" t="s">
        <v>109</v>
      </c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57" ht="15.75" thickBot="1"/>
    <row r="3" spans="1:57" ht="44.25" customHeight="1" thickBot="1">
      <c r="A3" s="43" t="s">
        <v>46</v>
      </c>
      <c r="B3" s="44" t="s">
        <v>29</v>
      </c>
      <c r="C3" s="45" t="s">
        <v>66</v>
      </c>
      <c r="D3" s="37" t="s">
        <v>30</v>
      </c>
      <c r="E3" s="37" t="s">
        <v>77</v>
      </c>
      <c r="F3" s="37" t="s">
        <v>78</v>
      </c>
      <c r="G3" s="37" t="s">
        <v>75</v>
      </c>
      <c r="H3" s="37" t="s">
        <v>72</v>
      </c>
      <c r="I3" s="37" t="s">
        <v>31</v>
      </c>
      <c r="J3" s="37" t="s">
        <v>87</v>
      </c>
      <c r="K3" s="37" t="s">
        <v>88</v>
      </c>
      <c r="L3" s="37" t="s">
        <v>67</v>
      </c>
      <c r="M3" s="37" t="s">
        <v>82</v>
      </c>
      <c r="N3" s="37" t="s">
        <v>32</v>
      </c>
      <c r="O3" s="37" t="s">
        <v>32</v>
      </c>
      <c r="P3" s="37" t="s">
        <v>33</v>
      </c>
      <c r="Q3" s="37" t="s">
        <v>34</v>
      </c>
      <c r="R3" s="37" t="s">
        <v>52</v>
      </c>
      <c r="S3" s="37" t="s">
        <v>83</v>
      </c>
      <c r="T3" s="37" t="s">
        <v>60</v>
      </c>
      <c r="U3" s="37" t="s">
        <v>65</v>
      </c>
      <c r="V3" s="37" t="s">
        <v>89</v>
      </c>
      <c r="W3" s="37" t="s">
        <v>53</v>
      </c>
      <c r="X3" s="37" t="s">
        <v>70</v>
      </c>
      <c r="Y3" s="37" t="s">
        <v>74</v>
      </c>
      <c r="Z3" s="37" t="s">
        <v>84</v>
      </c>
      <c r="AA3" s="37" t="s">
        <v>35</v>
      </c>
      <c r="AB3" s="37" t="s">
        <v>73</v>
      </c>
      <c r="AC3" s="37" t="s">
        <v>68</v>
      </c>
      <c r="AD3" s="37" t="s">
        <v>100</v>
      </c>
      <c r="AE3" s="37" t="s">
        <v>36</v>
      </c>
      <c r="AF3" s="37" t="s">
        <v>61</v>
      </c>
      <c r="AG3" s="37" t="s">
        <v>69</v>
      </c>
      <c r="AH3" s="37" t="s">
        <v>37</v>
      </c>
      <c r="AI3" s="37" t="s">
        <v>37</v>
      </c>
      <c r="AJ3" s="37" t="s">
        <v>38</v>
      </c>
      <c r="AK3" s="37" t="s">
        <v>76</v>
      </c>
      <c r="AL3" s="37" t="s">
        <v>40</v>
      </c>
      <c r="AM3" s="37" t="s">
        <v>62</v>
      </c>
      <c r="AN3" s="37" t="s">
        <v>64</v>
      </c>
      <c r="AO3" s="37" t="s">
        <v>71</v>
      </c>
      <c r="AP3" s="37" t="s">
        <v>54</v>
      </c>
      <c r="AQ3" s="37" t="s">
        <v>79</v>
      </c>
      <c r="AR3" s="37" t="s">
        <v>39</v>
      </c>
      <c r="AS3" s="37" t="s">
        <v>41</v>
      </c>
      <c r="AT3" s="37" t="s">
        <v>42</v>
      </c>
      <c r="AU3" s="37" t="s">
        <v>43</v>
      </c>
      <c r="AV3" s="37" t="s">
        <v>55</v>
      </c>
      <c r="AW3" s="37" t="s">
        <v>56</v>
      </c>
      <c r="AX3" s="37" t="s">
        <v>80</v>
      </c>
      <c r="AY3" s="37" t="s">
        <v>44</v>
      </c>
      <c r="AZ3" s="49" t="s">
        <v>45</v>
      </c>
      <c r="BA3" s="49" t="s">
        <v>81</v>
      </c>
      <c r="BB3" s="49" t="s">
        <v>86</v>
      </c>
      <c r="BC3" s="37" t="s">
        <v>57</v>
      </c>
      <c r="BD3" s="37" t="s">
        <v>58</v>
      </c>
      <c r="BE3" s="50" t="s">
        <v>59</v>
      </c>
    </row>
    <row r="4" spans="1:57" ht="16.5" customHeight="1" thickBot="1">
      <c r="A4" s="46" t="s">
        <v>3</v>
      </c>
      <c r="B4" s="47" t="s">
        <v>47</v>
      </c>
      <c r="C4" s="48" t="s">
        <v>63</v>
      </c>
      <c r="D4" s="38" t="s">
        <v>47</v>
      </c>
      <c r="E4" s="38" t="s">
        <v>47</v>
      </c>
      <c r="F4" s="38" t="s">
        <v>49</v>
      </c>
      <c r="G4" s="38" t="s">
        <v>47</v>
      </c>
      <c r="H4" s="38" t="s">
        <v>63</v>
      </c>
      <c r="I4" s="38" t="s">
        <v>48</v>
      </c>
      <c r="J4" s="38" t="s">
        <v>63</v>
      </c>
      <c r="K4" s="38" t="s">
        <v>49</v>
      </c>
      <c r="L4" s="38" t="s">
        <v>47</v>
      </c>
      <c r="M4" s="38" t="s">
        <v>63</v>
      </c>
      <c r="N4" s="38" t="s">
        <v>49</v>
      </c>
      <c r="O4" s="38" t="s">
        <v>47</v>
      </c>
      <c r="P4" s="38" t="s">
        <v>47</v>
      </c>
      <c r="Q4" s="38" t="s">
        <v>47</v>
      </c>
      <c r="R4" s="38" t="s">
        <v>47</v>
      </c>
      <c r="S4" s="38" t="s">
        <v>47</v>
      </c>
      <c r="T4" s="38" t="s">
        <v>47</v>
      </c>
      <c r="U4" s="38" t="s">
        <v>47</v>
      </c>
      <c r="V4" s="38" t="s">
        <v>63</v>
      </c>
      <c r="W4" s="38" t="s">
        <v>50</v>
      </c>
      <c r="X4" s="38" t="s">
        <v>63</v>
      </c>
      <c r="Y4" s="38" t="s">
        <v>49</v>
      </c>
      <c r="Z4" s="38" t="s">
        <v>85</v>
      </c>
      <c r="AA4" s="38" t="s">
        <v>47</v>
      </c>
      <c r="AB4" s="38" t="s">
        <v>47</v>
      </c>
      <c r="AC4" s="38" t="s">
        <v>47</v>
      </c>
      <c r="AD4" s="38" t="s">
        <v>47</v>
      </c>
      <c r="AE4" s="38" t="s">
        <v>47</v>
      </c>
      <c r="AF4" s="38" t="s">
        <v>47</v>
      </c>
      <c r="AG4" s="38" t="s">
        <v>47</v>
      </c>
      <c r="AH4" s="38" t="s">
        <v>47</v>
      </c>
      <c r="AI4" s="38" t="s">
        <v>49</v>
      </c>
      <c r="AJ4" s="38" t="s">
        <v>63</v>
      </c>
      <c r="AK4" s="38" t="s">
        <v>47</v>
      </c>
      <c r="AL4" s="38" t="s">
        <v>47</v>
      </c>
      <c r="AM4" s="38" t="s">
        <v>63</v>
      </c>
      <c r="AN4" s="38" t="s">
        <v>47</v>
      </c>
      <c r="AO4" s="38" t="s">
        <v>47</v>
      </c>
      <c r="AP4" s="38" t="s">
        <v>63</v>
      </c>
      <c r="AQ4" s="38" t="s">
        <v>47</v>
      </c>
      <c r="AR4" s="38" t="s">
        <v>47</v>
      </c>
      <c r="AS4" s="38" t="s">
        <v>47</v>
      </c>
      <c r="AT4" s="38" t="s">
        <v>51</v>
      </c>
      <c r="AU4" s="38" t="s">
        <v>49</v>
      </c>
      <c r="AV4" s="38" t="s">
        <v>50</v>
      </c>
      <c r="AW4" s="38" t="s">
        <v>49</v>
      </c>
      <c r="AX4" s="38" t="s">
        <v>49</v>
      </c>
      <c r="AY4" s="38" t="s">
        <v>47</v>
      </c>
      <c r="AZ4" s="51" t="s">
        <v>47</v>
      </c>
      <c r="BA4" s="51" t="s">
        <v>47</v>
      </c>
      <c r="BB4" s="51" t="s">
        <v>47</v>
      </c>
      <c r="BC4" s="38" t="s">
        <v>49</v>
      </c>
      <c r="BD4" s="38" t="s">
        <v>47</v>
      </c>
      <c r="BE4" s="52" t="s">
        <v>49</v>
      </c>
    </row>
    <row r="5" spans="1:57" s="7" customFormat="1">
      <c r="A5" s="4" t="s">
        <v>0</v>
      </c>
      <c r="B5" s="5">
        <f>10-2-2-2</f>
        <v>4</v>
      </c>
      <c r="C5" s="6"/>
      <c r="D5" s="6">
        <f>45+40-5-10-5-13-2</f>
        <v>50</v>
      </c>
      <c r="E5" s="6"/>
      <c r="F5" s="6">
        <f>4-1</f>
        <v>3</v>
      </c>
      <c r="G5" s="6"/>
      <c r="H5" s="6">
        <f>20-10-2-3</f>
        <v>5</v>
      </c>
      <c r="I5" s="6">
        <v>3</v>
      </c>
      <c r="J5" s="6">
        <v>10</v>
      </c>
      <c r="K5" s="6"/>
      <c r="L5" s="6">
        <v>10</v>
      </c>
      <c r="M5" s="6"/>
      <c r="N5" s="6">
        <v>4</v>
      </c>
      <c r="O5" s="6">
        <f>10-5-2</f>
        <v>3</v>
      </c>
      <c r="P5" s="6">
        <f>40-3-5-2-3-3</f>
        <v>24</v>
      </c>
      <c r="Q5" s="6">
        <f>56-5-11-5-4-2</f>
        <v>29</v>
      </c>
      <c r="R5" s="6"/>
      <c r="S5" s="6">
        <v>2</v>
      </c>
      <c r="T5" s="6">
        <f>40-1-5-6-5</f>
        <v>23</v>
      </c>
      <c r="U5" s="6"/>
      <c r="V5" s="6">
        <f>20-5-5-5-2</f>
        <v>3</v>
      </c>
      <c r="W5" s="6"/>
      <c r="X5" s="6">
        <f>20-1</f>
        <v>19</v>
      </c>
      <c r="Y5" s="6">
        <v>2</v>
      </c>
      <c r="Z5" s="6"/>
      <c r="AA5" s="6">
        <v>10</v>
      </c>
      <c r="AB5" s="6">
        <f>22-1-1-1-1-1</f>
        <v>17</v>
      </c>
      <c r="AC5" s="6">
        <f>10-2-1</f>
        <v>7</v>
      </c>
      <c r="AD5" s="6"/>
      <c r="AE5" s="6">
        <f>40-10-5-5-5-5</f>
        <v>10</v>
      </c>
      <c r="AF5" s="6"/>
      <c r="AG5" s="6">
        <f>10-1-1-1-1</f>
        <v>6</v>
      </c>
      <c r="AH5" s="6">
        <f>40-5-2-10-10-4-5</f>
        <v>4</v>
      </c>
      <c r="AI5" s="6">
        <f>3-1</f>
        <v>2</v>
      </c>
      <c r="AJ5" s="6">
        <f>40-10-2-10-10</f>
        <v>8</v>
      </c>
      <c r="AK5" s="6"/>
      <c r="AL5" s="6">
        <f>100-2</f>
        <v>98</v>
      </c>
      <c r="AM5" s="6"/>
      <c r="AN5" s="6"/>
      <c r="AO5" s="6">
        <f>40-5-5-5-5</f>
        <v>20</v>
      </c>
      <c r="AP5" s="6">
        <f>20+10-10-10</f>
        <v>10</v>
      </c>
      <c r="AQ5" s="6">
        <v>9</v>
      </c>
      <c r="AR5" s="6">
        <f>40-4-2-3-2-2</f>
        <v>27</v>
      </c>
      <c r="AS5" s="6">
        <v>10</v>
      </c>
      <c r="AT5" s="6"/>
      <c r="AU5" s="6"/>
      <c r="AV5" s="6"/>
      <c r="AW5" s="6"/>
      <c r="AX5" s="6"/>
      <c r="AY5" s="6">
        <f>10-2-2-1-1-3</f>
        <v>1</v>
      </c>
      <c r="AZ5" s="6"/>
      <c r="BA5" s="6"/>
      <c r="BB5" s="6"/>
      <c r="BC5" s="6"/>
      <c r="BD5" s="6">
        <v>35</v>
      </c>
      <c r="BE5" s="62"/>
    </row>
    <row r="6" spans="1:57" s="7" customFormat="1">
      <c r="A6" s="8" t="s">
        <v>1</v>
      </c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>2-1</f>
        <v>1</v>
      </c>
      <c r="AJ6" s="3">
        <f>20-10</f>
        <v>10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>
        <v>8</v>
      </c>
      <c r="AZ6" s="3"/>
      <c r="BA6" s="3"/>
      <c r="BB6" s="3"/>
      <c r="BC6" s="3"/>
      <c r="BD6" s="3"/>
      <c r="BE6" s="35"/>
    </row>
    <row r="7" spans="1:57" s="7" customFormat="1" ht="15.75" customHeight="1">
      <c r="A7" s="8" t="s">
        <v>2</v>
      </c>
      <c r="B7" s="9">
        <f>10-5</f>
        <v>5</v>
      </c>
      <c r="C7" s="3"/>
      <c r="D7" s="3">
        <f>8+20+50-4-10-2</f>
        <v>62</v>
      </c>
      <c r="E7" s="3"/>
      <c r="F7" s="3">
        <f>5-1</f>
        <v>4</v>
      </c>
      <c r="G7" s="3"/>
      <c r="H7" s="3">
        <f>40-10-4</f>
        <v>26</v>
      </c>
      <c r="I7" s="3">
        <v>2</v>
      </c>
      <c r="J7" s="3">
        <f>20-10</f>
        <v>10</v>
      </c>
      <c r="K7" s="3"/>
      <c r="L7" s="3">
        <v>20</v>
      </c>
      <c r="M7" s="3"/>
      <c r="N7" s="3">
        <f>6-1</f>
        <v>5</v>
      </c>
      <c r="O7" s="3">
        <f>10</f>
        <v>10</v>
      </c>
      <c r="P7" s="3">
        <f>60-1-1</f>
        <v>58</v>
      </c>
      <c r="Q7" s="3">
        <f>50-4-2-2</f>
        <v>42</v>
      </c>
      <c r="R7" s="3"/>
      <c r="S7" s="3"/>
      <c r="T7" s="3">
        <f>60-10</f>
        <v>50</v>
      </c>
      <c r="U7" s="3"/>
      <c r="V7" s="3">
        <v>16</v>
      </c>
      <c r="W7" s="3"/>
      <c r="X7" s="3">
        <v>14</v>
      </c>
      <c r="Y7" s="3">
        <v>4</v>
      </c>
      <c r="Z7" s="3"/>
      <c r="AA7" s="3">
        <f>20-5</f>
        <v>15</v>
      </c>
      <c r="AB7" s="3">
        <f>20-1-5</f>
        <v>14</v>
      </c>
      <c r="AC7" s="3">
        <f>20-5</f>
        <v>15</v>
      </c>
      <c r="AD7" s="3"/>
      <c r="AE7" s="3">
        <f>67-3-2-3-3-10-4</f>
        <v>42</v>
      </c>
      <c r="AF7" s="3"/>
      <c r="AG7" s="61"/>
      <c r="AH7" s="3">
        <f>60-5-3-3-10-4</f>
        <v>35</v>
      </c>
      <c r="AI7" s="3">
        <f>4+4+2-2-1</f>
        <v>7</v>
      </c>
      <c r="AJ7" s="3">
        <v>73</v>
      </c>
      <c r="AK7" s="3"/>
      <c r="AL7" s="3">
        <f>7-1+150</f>
        <v>156</v>
      </c>
      <c r="AM7" s="3"/>
      <c r="AN7" s="3"/>
      <c r="AO7" s="3">
        <v>46</v>
      </c>
      <c r="AP7" s="3">
        <f>20+20-10-10</f>
        <v>20</v>
      </c>
      <c r="AQ7" s="3"/>
      <c r="AR7" s="3">
        <f>10+60-10</f>
        <v>60</v>
      </c>
      <c r="AS7" s="3">
        <f>2+15-2-5</f>
        <v>10</v>
      </c>
      <c r="AT7" s="3"/>
      <c r="AU7" s="3"/>
      <c r="AV7" s="3"/>
      <c r="AW7" s="3"/>
      <c r="AX7" s="3">
        <f>4-1</f>
        <v>3</v>
      </c>
      <c r="AY7" s="3">
        <f>10+20-5</f>
        <v>25</v>
      </c>
      <c r="AZ7" s="3">
        <v>5</v>
      </c>
      <c r="BA7" s="3"/>
      <c r="BB7" s="3"/>
      <c r="BC7" s="3">
        <f>2-1</f>
        <v>1</v>
      </c>
      <c r="BD7" s="3">
        <v>45</v>
      </c>
      <c r="BE7" s="35"/>
    </row>
    <row r="8" spans="1:57" s="7" customFormat="1">
      <c r="A8" s="8" t="s">
        <v>4</v>
      </c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16</v>
      </c>
      <c r="Q8" s="3"/>
      <c r="R8" s="3"/>
      <c r="S8" s="3"/>
      <c r="T8" s="3">
        <v>7</v>
      </c>
      <c r="U8" s="3"/>
      <c r="V8" s="3"/>
      <c r="W8" s="3"/>
      <c r="X8" s="3"/>
      <c r="Y8" s="3">
        <v>1</v>
      </c>
      <c r="Z8" s="3"/>
      <c r="AA8" s="3"/>
      <c r="AB8" s="3"/>
      <c r="AC8" s="3"/>
      <c r="AD8" s="3"/>
      <c r="AE8" s="3">
        <f>50+20</f>
        <v>70</v>
      </c>
      <c r="AF8" s="3"/>
      <c r="AG8" s="3">
        <v>8</v>
      </c>
      <c r="AH8" s="3">
        <v>22</v>
      </c>
      <c r="AI8" s="3">
        <f>3+5+2+1+2</f>
        <v>13</v>
      </c>
      <c r="AJ8" s="3">
        <v>20</v>
      </c>
      <c r="AK8" s="3"/>
      <c r="AL8" s="3">
        <v>4</v>
      </c>
      <c r="AM8" s="3"/>
      <c r="AN8" s="3"/>
      <c r="AO8" s="3"/>
      <c r="AP8" s="3">
        <v>10</v>
      </c>
      <c r="AQ8" s="3"/>
      <c r="AR8" s="3"/>
      <c r="AS8" s="3"/>
      <c r="AT8" s="3"/>
      <c r="AU8" s="3"/>
      <c r="AV8" s="3"/>
      <c r="AW8" s="3">
        <v>1</v>
      </c>
      <c r="AX8" s="3"/>
      <c r="AY8" s="3"/>
      <c r="AZ8" s="3"/>
      <c r="BA8" s="3"/>
      <c r="BB8" s="3"/>
      <c r="BC8" s="3"/>
      <c r="BD8" s="3">
        <v>18</v>
      </c>
      <c r="BE8" s="35">
        <v>2</v>
      </c>
    </row>
    <row r="9" spans="1:57" s="7" customFormat="1">
      <c r="A9" s="8" t="s">
        <v>5</v>
      </c>
      <c r="B9" s="9">
        <f>10-2-1</f>
        <v>7</v>
      </c>
      <c r="C9" s="3"/>
      <c r="D9" s="3">
        <f>12+50-2-2-2-6</f>
        <v>50</v>
      </c>
      <c r="E9" s="3"/>
      <c r="F9" s="3">
        <f>5-1</f>
        <v>4</v>
      </c>
      <c r="G9" s="3"/>
      <c r="H9" s="3">
        <f>40-5-5-5</f>
        <v>25</v>
      </c>
      <c r="I9" s="3">
        <v>4</v>
      </c>
      <c r="J9" s="3">
        <f>20-5-5</f>
        <v>10</v>
      </c>
      <c r="K9" s="3"/>
      <c r="L9" s="3">
        <v>20</v>
      </c>
      <c r="M9" s="3"/>
      <c r="N9" s="3">
        <f>5-1</f>
        <v>4</v>
      </c>
      <c r="O9" s="3">
        <f>10</f>
        <v>10</v>
      </c>
      <c r="P9" s="3">
        <f>55-5-5-5</f>
        <v>40</v>
      </c>
      <c r="Q9" s="3">
        <f>52-2-5-5</f>
        <v>40</v>
      </c>
      <c r="R9" s="3"/>
      <c r="S9" s="3"/>
      <c r="T9" s="3">
        <f>50-5-5-5-5-5</f>
        <v>25</v>
      </c>
      <c r="U9" s="3"/>
      <c r="V9" s="3">
        <v>25</v>
      </c>
      <c r="W9" s="3"/>
      <c r="X9" s="3">
        <v>8</v>
      </c>
      <c r="Y9" s="3">
        <f>5-1</f>
        <v>4</v>
      </c>
      <c r="Z9" s="3"/>
      <c r="AA9" s="3">
        <f>20-5-2-3</f>
        <v>10</v>
      </c>
      <c r="AB9" s="3">
        <v>20</v>
      </c>
      <c r="AC9" s="3">
        <v>20</v>
      </c>
      <c r="AD9" s="3"/>
      <c r="AE9" s="3">
        <f>50-5-5-5</f>
        <v>35</v>
      </c>
      <c r="AF9" s="3"/>
      <c r="AG9" s="3">
        <v>15</v>
      </c>
      <c r="AH9" s="3">
        <v>30</v>
      </c>
      <c r="AI9" s="3">
        <f>5</f>
        <v>5</v>
      </c>
      <c r="AJ9" s="3">
        <v>55</v>
      </c>
      <c r="AK9" s="3"/>
      <c r="AL9" s="3">
        <f>180</f>
        <v>180</v>
      </c>
      <c r="AM9" s="3"/>
      <c r="AN9" s="3"/>
      <c r="AO9" s="3">
        <v>40</v>
      </c>
      <c r="AP9" s="3">
        <f>20+20-5-5-5-10</f>
        <v>15</v>
      </c>
      <c r="AQ9" s="3"/>
      <c r="AR9" s="3">
        <v>45</v>
      </c>
      <c r="AS9" s="3">
        <f>3+15</f>
        <v>18</v>
      </c>
      <c r="AT9" s="3"/>
      <c r="AU9" s="3"/>
      <c r="AV9" s="3"/>
      <c r="AW9" s="3"/>
      <c r="AX9" s="3"/>
      <c r="AY9" s="3">
        <f>20-3-2-3</f>
        <v>12</v>
      </c>
      <c r="AZ9" s="3"/>
      <c r="BA9" s="3"/>
      <c r="BB9" s="3"/>
      <c r="BC9" s="3">
        <f>2</f>
        <v>2</v>
      </c>
      <c r="BD9" s="3">
        <v>40</v>
      </c>
      <c r="BE9" s="35"/>
    </row>
    <row r="10" spans="1:57" s="7" customFormat="1">
      <c r="A10" s="11" t="s">
        <v>6</v>
      </c>
      <c r="B10" s="9">
        <f>10+10</f>
        <v>20</v>
      </c>
      <c r="C10" s="3"/>
      <c r="D10" s="3">
        <f>33+40-2-4-2-4</f>
        <v>61</v>
      </c>
      <c r="E10" s="3"/>
      <c r="F10" s="3">
        <f>4-1-2</f>
        <v>1</v>
      </c>
      <c r="G10" s="3"/>
      <c r="H10" s="3">
        <v>20</v>
      </c>
      <c r="I10" s="3">
        <v>3</v>
      </c>
      <c r="J10" s="3">
        <v>10</v>
      </c>
      <c r="K10" s="3"/>
      <c r="L10" s="3">
        <v>10</v>
      </c>
      <c r="M10" s="3"/>
      <c r="N10" s="3">
        <f>12-1</f>
        <v>11</v>
      </c>
      <c r="O10" s="3">
        <f>1+10</f>
        <v>11</v>
      </c>
      <c r="P10" s="3">
        <f>40-2-2-2-2</f>
        <v>32</v>
      </c>
      <c r="Q10" s="3">
        <f>40-2-2-2</f>
        <v>34</v>
      </c>
      <c r="R10" s="3"/>
      <c r="S10" s="3"/>
      <c r="T10" s="3">
        <f>50-1-4-3-1</f>
        <v>41</v>
      </c>
      <c r="U10" s="3"/>
      <c r="V10" s="3">
        <f>20-1-2-1-3</f>
        <v>13</v>
      </c>
      <c r="W10" s="3"/>
      <c r="X10" s="3">
        <f>20-5-1</f>
        <v>14</v>
      </c>
      <c r="Y10" s="3">
        <f>4-1</f>
        <v>3</v>
      </c>
      <c r="Z10" s="3"/>
      <c r="AA10" s="3">
        <f>10-1-3</f>
        <v>6</v>
      </c>
      <c r="AB10" s="3"/>
      <c r="AC10" s="3">
        <v>10</v>
      </c>
      <c r="AD10" s="3"/>
      <c r="AE10" s="3">
        <f>69+40-1-4-8</f>
        <v>96</v>
      </c>
      <c r="AF10" s="3">
        <v>10</v>
      </c>
      <c r="AG10" s="3">
        <f>10-1-1-2-2</f>
        <v>4</v>
      </c>
      <c r="AH10" s="3">
        <f>44-1-7-2-10-2</f>
        <v>22</v>
      </c>
      <c r="AI10" s="3">
        <f>14-2-1</f>
        <v>11</v>
      </c>
      <c r="AJ10" s="3">
        <f>33+40+40-40-2</f>
        <v>71</v>
      </c>
      <c r="AK10" s="3"/>
      <c r="AL10" s="3">
        <v>140</v>
      </c>
      <c r="AM10" s="3"/>
      <c r="AN10" s="3"/>
      <c r="AO10" s="3">
        <f>40-3-6-2-2</f>
        <v>27</v>
      </c>
      <c r="AP10" s="3">
        <f>27+10-7</f>
        <v>30</v>
      </c>
      <c r="AQ10" s="3"/>
      <c r="AR10" s="3">
        <f>40-4-4</f>
        <v>32</v>
      </c>
      <c r="AS10" s="3">
        <f>6+15</f>
        <v>21</v>
      </c>
      <c r="AT10" s="3"/>
      <c r="AU10" s="3"/>
      <c r="AV10" s="3"/>
      <c r="AW10" s="3"/>
      <c r="AX10" s="3">
        <f>2-1</f>
        <v>1</v>
      </c>
      <c r="AY10" s="3">
        <v>10</v>
      </c>
      <c r="AZ10" s="3"/>
      <c r="BA10" s="10"/>
      <c r="BB10" s="10"/>
      <c r="BC10" s="3">
        <f>2+1</f>
        <v>3</v>
      </c>
      <c r="BD10" s="3">
        <f>50-2-1</f>
        <v>47</v>
      </c>
      <c r="BE10" s="35">
        <v>2</v>
      </c>
    </row>
    <row r="11" spans="1:57" s="7" customFormat="1">
      <c r="A11" s="8" t="s">
        <v>7</v>
      </c>
      <c r="B11" s="9">
        <f>10-1-2-1</f>
        <v>6</v>
      </c>
      <c r="C11" s="3"/>
      <c r="D11" s="3">
        <f>60-5-5-5-10-10</f>
        <v>25</v>
      </c>
      <c r="E11" s="3"/>
      <c r="F11" s="3">
        <f>5-1</f>
        <v>4</v>
      </c>
      <c r="G11" s="3"/>
      <c r="H11" s="3">
        <f>20-10</f>
        <v>10</v>
      </c>
      <c r="I11" s="3"/>
      <c r="J11" s="3">
        <v>10</v>
      </c>
      <c r="K11" s="3"/>
      <c r="L11" s="3">
        <v>10</v>
      </c>
      <c r="M11" s="3"/>
      <c r="N11" s="3"/>
      <c r="O11" s="3">
        <f>10-2</f>
        <v>8</v>
      </c>
      <c r="P11" s="3">
        <f>55-5-5-5-5-5</f>
        <v>30</v>
      </c>
      <c r="Q11" s="3">
        <f>50-5-5-5-10-10</f>
        <v>15</v>
      </c>
      <c r="R11" s="3"/>
      <c r="S11" s="3"/>
      <c r="T11" s="3">
        <f>60-5-5-10-10</f>
        <v>30</v>
      </c>
      <c r="U11" s="3"/>
      <c r="V11" s="3">
        <v>5</v>
      </c>
      <c r="W11" s="3"/>
      <c r="X11" s="3">
        <f>20-5</f>
        <v>15</v>
      </c>
      <c r="Y11" s="3">
        <f>5-1-1</f>
        <v>3</v>
      </c>
      <c r="Z11" s="3">
        <v>2</v>
      </c>
      <c r="AA11" s="3">
        <f>10-2</f>
        <v>8</v>
      </c>
      <c r="AB11" s="3">
        <f>10-2-1</f>
        <v>7</v>
      </c>
      <c r="AC11" s="3">
        <f>10-2</f>
        <v>8</v>
      </c>
      <c r="AD11" s="3"/>
      <c r="AE11" s="3">
        <f>60-5-10-10-10</f>
        <v>25</v>
      </c>
      <c r="AF11" s="3">
        <f>9-1</f>
        <v>8</v>
      </c>
      <c r="AG11" s="3">
        <f>10-5</f>
        <v>5</v>
      </c>
      <c r="AH11" s="3">
        <f>70-5-10-5-5-10</f>
        <v>35</v>
      </c>
      <c r="AI11" s="3">
        <f>4-1</f>
        <v>3</v>
      </c>
      <c r="AJ11" s="3">
        <f>40+40-40</f>
        <v>40</v>
      </c>
      <c r="AK11" s="3"/>
      <c r="AL11" s="3">
        <f>150</f>
        <v>150</v>
      </c>
      <c r="AM11" s="3"/>
      <c r="AN11" s="3"/>
      <c r="AO11" s="3">
        <v>25</v>
      </c>
      <c r="AP11" s="3">
        <f>20+20+10-10</f>
        <v>40</v>
      </c>
      <c r="AQ11" s="3"/>
      <c r="AR11" s="3">
        <v>50</v>
      </c>
      <c r="AS11" s="3">
        <f>2+15-2</f>
        <v>15</v>
      </c>
      <c r="AT11" s="3"/>
      <c r="AU11" s="3"/>
      <c r="AV11" s="3">
        <v>20</v>
      </c>
      <c r="AW11" s="3"/>
      <c r="AX11" s="3">
        <v>2</v>
      </c>
      <c r="AY11" s="3">
        <f>10+10-4</f>
        <v>16</v>
      </c>
      <c r="AZ11" s="3">
        <f>5-1</f>
        <v>4</v>
      </c>
      <c r="BA11" s="3"/>
      <c r="BB11" s="3"/>
      <c r="BC11" s="3"/>
      <c r="BD11" s="3">
        <v>35</v>
      </c>
      <c r="BE11" s="35"/>
    </row>
    <row r="12" spans="1:57" s="7" customFormat="1">
      <c r="A12" s="8" t="s">
        <v>8</v>
      </c>
      <c r="B12" s="9" t="s">
        <v>105</v>
      </c>
      <c r="C12" s="3"/>
      <c r="D12" s="3">
        <f>50-10-5-8-5-5</f>
        <v>17</v>
      </c>
      <c r="E12" s="3"/>
      <c r="F12" s="3">
        <f>4-1</f>
        <v>3</v>
      </c>
      <c r="G12" s="3"/>
      <c r="H12" s="3"/>
      <c r="I12" s="3">
        <f>3-1</f>
        <v>2</v>
      </c>
      <c r="J12" s="3">
        <f>20-5-5</f>
        <v>10</v>
      </c>
      <c r="K12" s="3"/>
      <c r="L12" s="3">
        <f>20-3-3</f>
        <v>14</v>
      </c>
      <c r="M12" s="3"/>
      <c r="N12" s="3">
        <f>5-1-1</f>
        <v>3</v>
      </c>
      <c r="O12" s="3">
        <f>10</f>
        <v>10</v>
      </c>
      <c r="P12" s="3">
        <f>10+40-10-10-5-5</f>
        <v>20</v>
      </c>
      <c r="Q12" s="3">
        <f>40-15-5-3-5-4</f>
        <v>8</v>
      </c>
      <c r="R12" s="3"/>
      <c r="S12" s="3"/>
      <c r="T12" s="3">
        <f>40-12-8-5-10</f>
        <v>5</v>
      </c>
      <c r="U12" s="3"/>
      <c r="V12" s="3">
        <f>40-10-5-5-10</f>
        <v>10</v>
      </c>
      <c r="W12" s="3"/>
      <c r="X12" s="3">
        <f>20-5-2-4-4</f>
        <v>5</v>
      </c>
      <c r="Y12" s="3">
        <f>4-1</f>
        <v>3</v>
      </c>
      <c r="Z12" s="3"/>
      <c r="AA12" s="3">
        <f>20-5-7-6</f>
        <v>2</v>
      </c>
      <c r="AB12" s="3">
        <f>20-5</f>
        <v>15</v>
      </c>
      <c r="AC12" s="3">
        <f>20-5</f>
        <v>15</v>
      </c>
      <c r="AD12" s="3"/>
      <c r="AE12" s="3">
        <f>48-5-10-5-4-4-2</f>
        <v>18</v>
      </c>
      <c r="AF12" s="3"/>
      <c r="AG12" s="3"/>
      <c r="AH12" s="3">
        <f>40-5-8-7-10</f>
        <v>10</v>
      </c>
      <c r="AI12" s="3">
        <f>4-2</f>
        <v>2</v>
      </c>
      <c r="AJ12" s="3">
        <f>55+80-5-10-40</f>
        <v>80</v>
      </c>
      <c r="AK12" s="3"/>
      <c r="AL12" s="3">
        <v>115</v>
      </c>
      <c r="AM12" s="3"/>
      <c r="AN12" s="3"/>
      <c r="AO12" s="3">
        <f>40-10-4-4-3-2</f>
        <v>17</v>
      </c>
      <c r="AP12" s="3">
        <f>20+10-5</f>
        <v>25</v>
      </c>
      <c r="AQ12" s="3"/>
      <c r="AR12" s="3">
        <f>40-10-8-4-6</f>
        <v>12</v>
      </c>
      <c r="AS12" s="3">
        <f>15-5</f>
        <v>10</v>
      </c>
      <c r="AT12" s="3"/>
      <c r="AU12" s="3"/>
      <c r="AV12" s="3"/>
      <c r="AW12" s="3"/>
      <c r="AX12" s="3"/>
      <c r="AY12" s="3"/>
      <c r="AZ12" s="3">
        <f>3-1</f>
        <v>2</v>
      </c>
      <c r="BA12" s="3"/>
      <c r="BB12" s="3"/>
      <c r="BC12" s="3">
        <f>2</f>
        <v>2</v>
      </c>
      <c r="BD12" s="3">
        <v>22</v>
      </c>
      <c r="BE12" s="35"/>
    </row>
    <row r="13" spans="1:57" s="7" customFormat="1">
      <c r="A13" s="8" t="s">
        <v>9</v>
      </c>
      <c r="B13" s="9">
        <v>10</v>
      </c>
      <c r="C13" s="3"/>
      <c r="D13" s="3"/>
      <c r="E13" s="3"/>
      <c r="F13" s="3"/>
      <c r="G13" s="3"/>
      <c r="H13" s="3"/>
      <c r="I13" s="3"/>
      <c r="J13" s="3"/>
      <c r="K13" s="3"/>
      <c r="L13" s="3">
        <f>10-5</f>
        <v>5</v>
      </c>
      <c r="M13" s="3"/>
      <c r="N13" s="3"/>
      <c r="O13" s="3">
        <f>10-5</f>
        <v>5</v>
      </c>
      <c r="P13" s="3">
        <f>15-5-5-3</f>
        <v>2</v>
      </c>
      <c r="Q13" s="3"/>
      <c r="R13" s="3"/>
      <c r="S13" s="3"/>
      <c r="T13" s="3">
        <f>15-5-5-3</f>
        <v>2</v>
      </c>
      <c r="U13" s="3"/>
      <c r="V13" s="3"/>
      <c r="W13" s="3"/>
      <c r="X13" s="3"/>
      <c r="Y13" s="3"/>
      <c r="Z13" s="3"/>
      <c r="AA13" s="3">
        <f>10-2-2-3</f>
        <v>3</v>
      </c>
      <c r="AB13" s="3">
        <f>10-2-3</f>
        <v>5</v>
      </c>
      <c r="AC13" s="3">
        <v>2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>
        <v>2</v>
      </c>
      <c r="AS13" s="3">
        <v>5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>
        <v>5</v>
      </c>
      <c r="BE13" s="35"/>
    </row>
    <row r="14" spans="1:57" s="7" customFormat="1">
      <c r="A14" s="8" t="s">
        <v>10</v>
      </c>
      <c r="B14" s="9">
        <v>10</v>
      </c>
      <c r="C14" s="3"/>
      <c r="D14" s="3">
        <f>50-20-10</f>
        <v>20</v>
      </c>
      <c r="E14" s="3"/>
      <c r="F14" s="3">
        <f>6-2-1</f>
        <v>3</v>
      </c>
      <c r="G14" s="3"/>
      <c r="H14" s="3">
        <f>20-10</f>
        <v>10</v>
      </c>
      <c r="I14" s="3"/>
      <c r="J14" s="3">
        <v>10</v>
      </c>
      <c r="K14" s="3"/>
      <c r="L14" s="3">
        <f>10-4</f>
        <v>6</v>
      </c>
      <c r="M14" s="3"/>
      <c r="N14" s="3">
        <f>4-1-1</f>
        <v>2</v>
      </c>
      <c r="O14" s="3">
        <f>10</f>
        <v>10</v>
      </c>
      <c r="P14" s="3">
        <f>50-20-5</f>
        <v>25</v>
      </c>
      <c r="Q14" s="3">
        <f>50-10-10</f>
        <v>30</v>
      </c>
      <c r="R14" s="3"/>
      <c r="S14" s="3"/>
      <c r="T14" s="3">
        <f>50-10-5</f>
        <v>35</v>
      </c>
      <c r="U14" s="3"/>
      <c r="V14" s="3"/>
      <c r="W14" s="3"/>
      <c r="X14" s="3">
        <v>20</v>
      </c>
      <c r="Y14" s="3">
        <v>3</v>
      </c>
      <c r="Z14" s="3"/>
      <c r="AA14" s="3">
        <v>10</v>
      </c>
      <c r="AB14" s="3">
        <v>10</v>
      </c>
      <c r="AC14" s="3">
        <v>10</v>
      </c>
      <c r="AD14" s="3"/>
      <c r="AE14" s="3">
        <f>50-28-10</f>
        <v>12</v>
      </c>
      <c r="AF14" s="3"/>
      <c r="AG14" s="3">
        <v>10</v>
      </c>
      <c r="AH14" s="3">
        <v>20</v>
      </c>
      <c r="AI14" s="3">
        <v>3</v>
      </c>
      <c r="AJ14" s="3">
        <v>30</v>
      </c>
      <c r="AK14" s="3"/>
      <c r="AL14" s="3">
        <f>80</f>
        <v>80</v>
      </c>
      <c r="AM14" s="3"/>
      <c r="AN14" s="3"/>
      <c r="AO14" s="3">
        <v>30</v>
      </c>
      <c r="AP14" s="3">
        <f>20+10-10</f>
        <v>20</v>
      </c>
      <c r="AQ14" s="3"/>
      <c r="AR14" s="3">
        <v>40</v>
      </c>
      <c r="AS14" s="3">
        <f>15-5</f>
        <v>10</v>
      </c>
      <c r="AT14" s="3"/>
      <c r="AU14" s="3"/>
      <c r="AV14" s="3"/>
      <c r="AW14" s="3"/>
      <c r="AX14" s="3">
        <v>1</v>
      </c>
      <c r="AY14" s="3">
        <v>10</v>
      </c>
      <c r="AZ14" s="3"/>
      <c r="BA14" s="3"/>
      <c r="BB14" s="3"/>
      <c r="BC14" s="3">
        <f>1</f>
        <v>1</v>
      </c>
      <c r="BD14" s="3">
        <v>20</v>
      </c>
      <c r="BE14" s="35"/>
    </row>
    <row r="15" spans="1:57" s="7" customFormat="1">
      <c r="A15" s="8" t="s">
        <v>11</v>
      </c>
      <c r="B15" s="9"/>
      <c r="C15" s="3"/>
      <c r="D15" s="3"/>
      <c r="E15" s="3"/>
      <c r="F15" s="3"/>
      <c r="G15" s="3"/>
      <c r="H15" s="3"/>
      <c r="I15" s="3">
        <v>2</v>
      </c>
      <c r="J15" s="3"/>
      <c r="K15" s="3"/>
      <c r="L15" s="3"/>
      <c r="M15" s="3"/>
      <c r="N15" s="3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>
        <v>3</v>
      </c>
      <c r="AJ15" s="3">
        <v>9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5">
        <v>1</v>
      </c>
    </row>
    <row r="16" spans="1:57" s="7" customFormat="1">
      <c r="A16" s="8" t="s">
        <v>12</v>
      </c>
      <c r="B16" s="9">
        <f>10-1-1-1-1</f>
        <v>6</v>
      </c>
      <c r="C16" s="3"/>
      <c r="D16" s="3">
        <f>63-3-16-4-4</f>
        <v>36</v>
      </c>
      <c r="E16" s="3"/>
      <c r="F16" s="3">
        <f>6-1-1-1</f>
        <v>3</v>
      </c>
      <c r="G16" s="3"/>
      <c r="H16" s="3">
        <f>20-10</f>
        <v>10</v>
      </c>
      <c r="I16" s="3">
        <v>1</v>
      </c>
      <c r="J16" s="3"/>
      <c r="K16" s="3"/>
      <c r="L16" s="3">
        <f>10-2-2</f>
        <v>6</v>
      </c>
      <c r="M16" s="3"/>
      <c r="N16" s="3">
        <f>3-1</f>
        <v>2</v>
      </c>
      <c r="O16" s="3">
        <f>10</f>
        <v>10</v>
      </c>
      <c r="P16" s="3">
        <f>70-3-3-7-8-12</f>
        <v>37</v>
      </c>
      <c r="Q16" s="3">
        <f>60-5-20-3-5</f>
        <v>27</v>
      </c>
      <c r="R16" s="3"/>
      <c r="S16" s="3"/>
      <c r="T16" s="3">
        <f>60-3</f>
        <v>57</v>
      </c>
      <c r="U16" s="3">
        <v>4</v>
      </c>
      <c r="V16" s="3">
        <v>9</v>
      </c>
      <c r="W16" s="3"/>
      <c r="X16" s="3">
        <f>20-2</f>
        <v>18</v>
      </c>
      <c r="Y16" s="3">
        <v>6</v>
      </c>
      <c r="Z16" s="3"/>
      <c r="AA16" s="3">
        <f>10-1-1</f>
        <v>8</v>
      </c>
      <c r="AB16" s="3">
        <f>10-2-2</f>
        <v>6</v>
      </c>
      <c r="AC16" s="3">
        <f>10-2</f>
        <v>8</v>
      </c>
      <c r="AD16" s="3"/>
      <c r="AE16" s="3">
        <f>45+60-10-5</f>
        <v>90</v>
      </c>
      <c r="AF16" s="3"/>
      <c r="AG16" s="3">
        <v>2</v>
      </c>
      <c r="AH16" s="3">
        <f>30+60-4-16-20-10</f>
        <v>40</v>
      </c>
      <c r="AI16" s="3">
        <v>2</v>
      </c>
      <c r="AJ16" s="3">
        <v>25</v>
      </c>
      <c r="AK16" s="3"/>
      <c r="AL16" s="3">
        <f>108</f>
        <v>108</v>
      </c>
      <c r="AM16" s="3"/>
      <c r="AN16" s="3"/>
      <c r="AO16" s="3">
        <v>36</v>
      </c>
      <c r="AP16" s="3">
        <f>2+20+10-2</f>
        <v>30</v>
      </c>
      <c r="AQ16" s="3"/>
      <c r="AR16" s="3">
        <f>6+60-3-3</f>
        <v>60</v>
      </c>
      <c r="AS16" s="3">
        <v>17</v>
      </c>
      <c r="AT16" s="3">
        <v>2</v>
      </c>
      <c r="AU16" s="3"/>
      <c r="AV16" s="3"/>
      <c r="AW16" s="3"/>
      <c r="AX16" s="3">
        <v>1</v>
      </c>
      <c r="AY16" s="3">
        <f>10+10-2-2</f>
        <v>16</v>
      </c>
      <c r="AZ16" s="3">
        <v>2</v>
      </c>
      <c r="BA16" s="3"/>
      <c r="BB16" s="3"/>
      <c r="BC16" s="3"/>
      <c r="BD16" s="3">
        <f>40-4-6</f>
        <v>30</v>
      </c>
      <c r="BE16" s="35"/>
    </row>
    <row r="17" spans="1:57" s="7" customFormat="1">
      <c r="A17" s="8" t="s">
        <v>13</v>
      </c>
      <c r="B17" s="9"/>
      <c r="C17" s="3"/>
      <c r="D17" s="3"/>
      <c r="E17" s="3"/>
      <c r="F17" s="3"/>
      <c r="G17" s="3"/>
      <c r="H17" s="3"/>
      <c r="I17" s="3">
        <v>3</v>
      </c>
      <c r="J17" s="3"/>
      <c r="K17" s="3"/>
      <c r="L17" s="3"/>
      <c r="M17" s="3"/>
      <c r="N17" s="3">
        <v>1</v>
      </c>
      <c r="O17" s="3"/>
      <c r="P17" s="3">
        <v>4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>
        <v>13</v>
      </c>
      <c r="AF17" s="3"/>
      <c r="AG17" s="3"/>
      <c r="AH17" s="3">
        <v>6</v>
      </c>
      <c r="AI17" s="3">
        <v>2</v>
      </c>
      <c r="AJ17" s="3">
        <f>20+20-1</f>
        <v>39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>
        <v>2</v>
      </c>
      <c r="BA17" s="3"/>
      <c r="BB17" s="3"/>
      <c r="BC17" s="3"/>
      <c r="BD17" s="3"/>
      <c r="BE17" s="35"/>
    </row>
    <row r="18" spans="1:57" s="7" customFormat="1">
      <c r="A18" s="8" t="s">
        <v>14</v>
      </c>
      <c r="B18" s="9"/>
      <c r="C18" s="3"/>
      <c r="D18" s="3"/>
      <c r="E18" s="3"/>
      <c r="F18" s="3"/>
      <c r="G18" s="3"/>
      <c r="H18" s="3"/>
      <c r="I18" s="3">
        <f>3-1</f>
        <v>2</v>
      </c>
      <c r="J18" s="3"/>
      <c r="K18" s="3"/>
      <c r="L18" s="3"/>
      <c r="M18" s="3"/>
      <c r="N18" s="3">
        <v>1</v>
      </c>
      <c r="O18" s="3">
        <f>5-1</f>
        <v>4</v>
      </c>
      <c r="P18" s="3"/>
      <c r="Q18" s="3"/>
      <c r="R18" s="3"/>
      <c r="S18" s="3"/>
      <c r="T18" s="3"/>
      <c r="U18" s="3"/>
      <c r="V18" s="3"/>
      <c r="W18" s="3">
        <v>10</v>
      </c>
      <c r="X18" s="3"/>
      <c r="Y18" s="3"/>
      <c r="Z18" s="3"/>
      <c r="AA18" s="3"/>
      <c r="AB18" s="3"/>
      <c r="AC18" s="3"/>
      <c r="AD18" s="3"/>
      <c r="AE18" s="3">
        <f>10-3-5</f>
        <v>2</v>
      </c>
      <c r="AF18" s="3"/>
      <c r="AG18" s="3"/>
      <c r="AH18" s="3">
        <f>20-3-2-5</f>
        <v>10</v>
      </c>
      <c r="AI18" s="3">
        <f>8-2-1</f>
        <v>5</v>
      </c>
      <c r="AJ18" s="3">
        <f>30-5-5-5</f>
        <v>15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>
        <v>2</v>
      </c>
      <c r="BA18" s="3"/>
      <c r="BB18" s="3"/>
      <c r="BC18" s="3">
        <v>1</v>
      </c>
      <c r="BD18" s="3"/>
      <c r="BE18" s="35">
        <f>2-1</f>
        <v>1</v>
      </c>
    </row>
    <row r="19" spans="1:57" s="7" customFormat="1">
      <c r="A19" s="8" t="s">
        <v>110</v>
      </c>
      <c r="B19" s="9">
        <v>10</v>
      </c>
      <c r="C19" s="3"/>
      <c r="D19" s="3">
        <f>100-1-1-2</f>
        <v>96</v>
      </c>
      <c r="E19" s="3"/>
      <c r="F19" s="3">
        <v>6</v>
      </c>
      <c r="G19" s="3"/>
      <c r="H19" s="3">
        <v>40</v>
      </c>
      <c r="I19" s="3">
        <f>4-2</f>
        <v>2</v>
      </c>
      <c r="J19" s="3">
        <v>20</v>
      </c>
      <c r="K19" s="3"/>
      <c r="L19" s="3">
        <v>20</v>
      </c>
      <c r="M19" s="3"/>
      <c r="N19" s="3">
        <f>6-1-1-1</f>
        <v>3</v>
      </c>
      <c r="O19" s="3">
        <f>10-1+8</f>
        <v>17</v>
      </c>
      <c r="P19" s="3">
        <f>60-3-1-20-1</f>
        <v>35</v>
      </c>
      <c r="Q19" s="3">
        <f>76-3-2-1-2</f>
        <v>68</v>
      </c>
      <c r="R19" s="3"/>
      <c r="S19" s="3"/>
      <c r="T19" s="3">
        <f>50-1</f>
        <v>49</v>
      </c>
      <c r="U19" s="3"/>
      <c r="V19" s="3">
        <f>40-12</f>
        <v>28</v>
      </c>
      <c r="W19" s="3">
        <f>20-2</f>
        <v>18</v>
      </c>
      <c r="X19" s="3">
        <v>20</v>
      </c>
      <c r="Y19" s="3">
        <v>6</v>
      </c>
      <c r="Z19" s="3"/>
      <c r="AA19" s="3">
        <v>25</v>
      </c>
      <c r="AB19" s="3">
        <v>25</v>
      </c>
      <c r="AC19" s="3">
        <f>20-1</f>
        <v>19</v>
      </c>
      <c r="AD19" s="3"/>
      <c r="AE19" s="3">
        <f>130+8+50-2-2-2-2-4-10</f>
        <v>166</v>
      </c>
      <c r="AF19" s="3"/>
      <c r="AG19" s="3">
        <v>20</v>
      </c>
      <c r="AH19" s="3">
        <f>50-2-5-8-2</f>
        <v>33</v>
      </c>
      <c r="AI19" s="3">
        <v>5</v>
      </c>
      <c r="AJ19" s="3">
        <f>80+80</f>
        <v>160</v>
      </c>
      <c r="AK19" s="3"/>
      <c r="AL19" s="3">
        <f>10+168-2</f>
        <v>176</v>
      </c>
      <c r="AM19" s="3"/>
      <c r="AN19" s="3"/>
      <c r="AO19" s="3">
        <v>42</v>
      </c>
      <c r="AP19" s="3">
        <f>20+10-2-1-10</f>
        <v>17</v>
      </c>
      <c r="AQ19" s="3"/>
      <c r="AR19" s="3">
        <f>6+50-2-1-5</f>
        <v>48</v>
      </c>
      <c r="AS19" s="3">
        <f>3+15-3-1</f>
        <v>14</v>
      </c>
      <c r="AT19" s="3"/>
      <c r="AU19" s="3"/>
      <c r="AV19" s="3"/>
      <c r="AW19" s="3"/>
      <c r="AX19" s="3"/>
      <c r="AY19" s="3">
        <f>10+20</f>
        <v>30</v>
      </c>
      <c r="AZ19" s="3">
        <f>6-2</f>
        <v>4</v>
      </c>
      <c r="BA19" s="3"/>
      <c r="BB19" s="3"/>
      <c r="BC19" s="3">
        <f>1+2</f>
        <v>3</v>
      </c>
      <c r="BD19" s="3">
        <v>49</v>
      </c>
      <c r="BE19" s="35"/>
    </row>
    <row r="20" spans="1:57" s="7" customFormat="1">
      <c r="A20" s="8" t="s">
        <v>15</v>
      </c>
      <c r="B20" s="9">
        <v>10</v>
      </c>
      <c r="C20" s="3"/>
      <c r="D20" s="3">
        <f>10+40-10-10-10</f>
        <v>20</v>
      </c>
      <c r="E20" s="3"/>
      <c r="F20" s="3">
        <v>4</v>
      </c>
      <c r="G20" s="3"/>
      <c r="H20" s="3">
        <f>40-10</f>
        <v>30</v>
      </c>
      <c r="I20" s="3"/>
      <c r="J20" s="3">
        <v>10</v>
      </c>
      <c r="K20" s="3"/>
      <c r="L20" s="3">
        <v>10</v>
      </c>
      <c r="M20" s="3"/>
      <c r="N20" s="3">
        <v>5</v>
      </c>
      <c r="O20" s="3">
        <f>10</f>
        <v>10</v>
      </c>
      <c r="P20" s="3">
        <f>65-5</f>
        <v>60</v>
      </c>
      <c r="Q20" s="3">
        <f>50-10-10-10-10</f>
        <v>10</v>
      </c>
      <c r="R20" s="3"/>
      <c r="S20" s="3"/>
      <c r="T20" s="3">
        <f>50-10</f>
        <v>40</v>
      </c>
      <c r="U20" s="3">
        <v>10</v>
      </c>
      <c r="V20" s="3">
        <v>20</v>
      </c>
      <c r="W20" s="3"/>
      <c r="X20" s="3">
        <f>20-5</f>
        <v>15</v>
      </c>
      <c r="Y20" s="3">
        <v>4</v>
      </c>
      <c r="Z20" s="3"/>
      <c r="AA20" s="3">
        <v>10</v>
      </c>
      <c r="AB20" s="3">
        <v>10</v>
      </c>
      <c r="AC20" s="3">
        <v>10</v>
      </c>
      <c r="AD20" s="3"/>
      <c r="AE20" s="3">
        <f>60-10-10-10</f>
        <v>30</v>
      </c>
      <c r="AF20" s="3"/>
      <c r="AG20" s="3">
        <v>10</v>
      </c>
      <c r="AH20" s="3">
        <f>30+50</f>
        <v>80</v>
      </c>
      <c r="AI20" s="3">
        <v>4</v>
      </c>
      <c r="AJ20" s="3">
        <f>80+40-40</f>
        <v>80</v>
      </c>
      <c r="AK20" s="3"/>
      <c r="AL20" s="3">
        <f>5+150</f>
        <v>155</v>
      </c>
      <c r="AM20" s="3"/>
      <c r="AN20" s="3"/>
      <c r="AO20" s="3"/>
      <c r="AP20" s="3">
        <f>20+10</f>
        <v>30</v>
      </c>
      <c r="AQ20" s="3"/>
      <c r="AR20" s="3">
        <f>50-10</f>
        <v>40</v>
      </c>
      <c r="AS20" s="3">
        <f>15-5</f>
        <v>10</v>
      </c>
      <c r="AT20" s="3">
        <v>2</v>
      </c>
      <c r="AU20" s="3"/>
      <c r="AV20" s="3"/>
      <c r="AW20" s="3"/>
      <c r="AX20" s="3">
        <v>4</v>
      </c>
      <c r="AY20" s="3">
        <f>10+10</f>
        <v>20</v>
      </c>
      <c r="AZ20" s="3">
        <v>8</v>
      </c>
      <c r="BA20" s="3"/>
      <c r="BB20" s="3"/>
      <c r="BC20" s="3"/>
      <c r="BD20" s="3">
        <v>50</v>
      </c>
      <c r="BE20" s="35"/>
    </row>
    <row r="21" spans="1:57" s="7" customFormat="1" ht="15.75" customHeight="1">
      <c r="A21" s="8" t="s">
        <v>16</v>
      </c>
      <c r="B21" s="9">
        <f>10-2-1-1-1</f>
        <v>5</v>
      </c>
      <c r="C21" s="3"/>
      <c r="D21" s="3">
        <f>16+50+100+40-16-8-10-12-6</f>
        <v>154</v>
      </c>
      <c r="E21" s="3">
        <f>25-5-2-8-2</f>
        <v>8</v>
      </c>
      <c r="F21" s="3">
        <f>7-1</f>
        <v>6</v>
      </c>
      <c r="G21" s="3"/>
      <c r="H21" s="3">
        <f>40+30+40-10-10-5-5-3</f>
        <v>77</v>
      </c>
      <c r="I21" s="3">
        <f>28-5-15-5</f>
        <v>3</v>
      </c>
      <c r="J21" s="3">
        <f>190+20-20-20-20-20-10</f>
        <v>120</v>
      </c>
      <c r="K21" s="3">
        <v>1</v>
      </c>
      <c r="L21" s="3">
        <f>20-1-1-2-2</f>
        <v>14</v>
      </c>
      <c r="M21" s="3"/>
      <c r="N21" s="3">
        <v>5</v>
      </c>
      <c r="O21" s="3">
        <f>9-2-1</f>
        <v>6</v>
      </c>
      <c r="P21" s="3">
        <f>27+3+40-4-5-2-1</f>
        <v>58</v>
      </c>
      <c r="Q21" s="3">
        <f>63+40-13-10-10-9-5</f>
        <v>56</v>
      </c>
      <c r="R21" s="3"/>
      <c r="S21" s="3">
        <f>18-4-4-2-2</f>
        <v>6</v>
      </c>
      <c r="T21" s="3">
        <f>110-5-10-10-2</f>
        <v>83</v>
      </c>
      <c r="U21" s="3">
        <f>55-2-2-14-4-4</f>
        <v>29</v>
      </c>
      <c r="V21" s="3">
        <f>128+40-14-7-10-7-10-6</f>
        <v>114</v>
      </c>
      <c r="W21" s="3">
        <v>20</v>
      </c>
      <c r="X21" s="3">
        <v>20</v>
      </c>
      <c r="Y21" s="3">
        <f>14+4-1-2</f>
        <v>15</v>
      </c>
      <c r="Z21" s="3">
        <f>36+120-8-5</f>
        <v>143</v>
      </c>
      <c r="AA21" s="3">
        <f>17+30+9+20-5-5-1-7-5</f>
        <v>53</v>
      </c>
      <c r="AB21" s="3">
        <f>28-3-1-4-1</f>
        <v>19</v>
      </c>
      <c r="AC21" s="3">
        <v>15</v>
      </c>
      <c r="AD21" s="3"/>
      <c r="AE21" s="3">
        <f>87+50-13-14-10-16-6</f>
        <v>78</v>
      </c>
      <c r="AF21" s="3">
        <f>7-2-1-1-1</f>
        <v>2</v>
      </c>
      <c r="AG21" s="3">
        <f>36-3-3-2-1</f>
        <v>27</v>
      </c>
      <c r="AH21" s="3">
        <f>142-26+50-16-10-10-30-10-10</f>
        <v>80</v>
      </c>
      <c r="AI21" s="3">
        <f>19+31-2-17-3-3</f>
        <v>25</v>
      </c>
      <c r="AJ21" s="3">
        <f>40+5+80-5-5-5-5-5</f>
        <v>100</v>
      </c>
      <c r="AK21" s="3"/>
      <c r="AL21" s="3">
        <f>28+40-2-2-3-6-3+140-2</f>
        <v>190</v>
      </c>
      <c r="AM21" s="3"/>
      <c r="AN21" s="3"/>
      <c r="AO21" s="3">
        <f>112+55+50-15-20-15-20-2</f>
        <v>145</v>
      </c>
      <c r="AP21" s="3">
        <f>36+20+20-20+20-16-10-10-5-5</f>
        <v>30</v>
      </c>
      <c r="AQ21" s="3">
        <f>72-13-18-11-10-10</f>
        <v>10</v>
      </c>
      <c r="AR21" s="3">
        <f>51+70+50-11-10-10-10-1</f>
        <v>129</v>
      </c>
      <c r="AS21" s="3">
        <f>6+15-1-1-1</f>
        <v>18</v>
      </c>
      <c r="AT21" s="3"/>
      <c r="AU21" s="3"/>
      <c r="AV21" s="3"/>
      <c r="AW21" s="3">
        <f>3-1-1</f>
        <v>1</v>
      </c>
      <c r="AX21" s="3">
        <f>10+4-2-3-1</f>
        <v>8</v>
      </c>
      <c r="AY21" s="3">
        <f>58+20-3-5-5-5-10</f>
        <v>50</v>
      </c>
      <c r="AZ21" s="3"/>
      <c r="BA21" s="3"/>
      <c r="BB21" s="3"/>
      <c r="BC21" s="3">
        <f>4+2-1-1-1</f>
        <v>3</v>
      </c>
      <c r="BD21" s="3">
        <f>70-2+50-7-11-20-10</f>
        <v>70</v>
      </c>
      <c r="BE21" s="35">
        <f>10-2</f>
        <v>8</v>
      </c>
    </row>
    <row r="22" spans="1:57" s="7" customFormat="1">
      <c r="A22" s="8" t="s">
        <v>17</v>
      </c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>
        <f>17-4-3-5-1-2</f>
        <v>2</v>
      </c>
      <c r="AF22" s="3"/>
      <c r="AG22" s="3"/>
      <c r="AH22" s="3"/>
      <c r="AI22" s="3">
        <f>3-1-1</f>
        <v>1</v>
      </c>
      <c r="AJ22" s="3">
        <v>6</v>
      </c>
      <c r="AK22" s="3"/>
      <c r="AL22" s="3"/>
      <c r="AM22" s="3"/>
      <c r="AN22" s="3"/>
      <c r="AO22" s="3">
        <f>10-2-2-1-1</f>
        <v>4</v>
      </c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5">
        <v>2</v>
      </c>
    </row>
    <row r="23" spans="1:57" s="7" customFormat="1">
      <c r="A23" s="8" t="s">
        <v>18</v>
      </c>
      <c r="B23" s="9">
        <v>10</v>
      </c>
      <c r="C23" s="3"/>
      <c r="D23" s="3">
        <f>15+60-5-10</f>
        <v>60</v>
      </c>
      <c r="E23" s="3"/>
      <c r="F23" s="3">
        <f>6-1</f>
        <v>5</v>
      </c>
      <c r="G23" s="3"/>
      <c r="H23" s="3">
        <f>40-5</f>
        <v>35</v>
      </c>
      <c r="I23" s="3"/>
      <c r="J23" s="3"/>
      <c r="K23" s="3"/>
      <c r="L23" s="3">
        <v>19</v>
      </c>
      <c r="M23" s="3"/>
      <c r="N23" s="3">
        <v>6</v>
      </c>
      <c r="O23" s="3">
        <f>10</f>
        <v>10</v>
      </c>
      <c r="P23" s="3">
        <f>67-7</f>
        <v>60</v>
      </c>
      <c r="Q23" s="3">
        <f>67-3</f>
        <v>64</v>
      </c>
      <c r="R23" s="3"/>
      <c r="S23" s="3"/>
      <c r="T23" s="3">
        <v>60</v>
      </c>
      <c r="U23" s="3">
        <v>7</v>
      </c>
      <c r="V23" s="3">
        <v>30</v>
      </c>
      <c r="W23" s="3"/>
      <c r="X23" s="3">
        <v>15</v>
      </c>
      <c r="Y23" s="3">
        <v>5</v>
      </c>
      <c r="Z23" s="3"/>
      <c r="AA23" s="3">
        <v>20</v>
      </c>
      <c r="AB23" s="3">
        <v>20</v>
      </c>
      <c r="AC23" s="3">
        <v>20</v>
      </c>
      <c r="AD23" s="3"/>
      <c r="AE23" s="3">
        <f>70-10</f>
        <v>60</v>
      </c>
      <c r="AF23" s="3"/>
      <c r="AG23" s="3">
        <f>20-5</f>
        <v>15</v>
      </c>
      <c r="AH23" s="3">
        <v>40</v>
      </c>
      <c r="AI23" s="3">
        <v>5</v>
      </c>
      <c r="AJ23" s="3">
        <f>70+80-10</f>
        <v>140</v>
      </c>
      <c r="AK23" s="3"/>
      <c r="AL23" s="3">
        <f>7+180-3</f>
        <v>184</v>
      </c>
      <c r="AM23" s="3"/>
      <c r="AN23" s="3"/>
      <c r="AO23" s="3">
        <v>46</v>
      </c>
      <c r="AP23" s="3">
        <f>7+20+20-5-5</f>
        <v>37</v>
      </c>
      <c r="AQ23" s="3"/>
      <c r="AR23" s="3">
        <v>60</v>
      </c>
      <c r="AS23" s="3">
        <f>6+15</f>
        <v>21</v>
      </c>
      <c r="AT23" s="3"/>
      <c r="AU23" s="3"/>
      <c r="AV23" s="3"/>
      <c r="AW23" s="3"/>
      <c r="AX23" s="3">
        <v>3</v>
      </c>
      <c r="AY23" s="3">
        <f>7+20</f>
        <v>27</v>
      </c>
      <c r="AZ23" s="3"/>
      <c r="BA23" s="3"/>
      <c r="BB23" s="3"/>
      <c r="BC23" s="3">
        <f>2</f>
        <v>2</v>
      </c>
      <c r="BD23" s="3">
        <v>50</v>
      </c>
      <c r="BE23" s="35"/>
    </row>
    <row r="24" spans="1:57" s="7" customFormat="1">
      <c r="A24" s="8" t="s">
        <v>19</v>
      </c>
      <c r="B24" s="9"/>
      <c r="C24" s="3"/>
      <c r="D24" s="3">
        <v>5</v>
      </c>
      <c r="E24" s="3"/>
      <c r="F24" s="3"/>
      <c r="G24" s="3"/>
      <c r="H24" s="3"/>
      <c r="I24" s="3">
        <v>2</v>
      </c>
      <c r="J24" s="3"/>
      <c r="K24" s="3"/>
      <c r="L24" s="3"/>
      <c r="M24" s="3"/>
      <c r="N24" s="3">
        <v>1</v>
      </c>
      <c r="O24" s="3"/>
      <c r="P24" s="3">
        <v>10</v>
      </c>
      <c r="Q24" s="3">
        <f>10-2</f>
        <v>8</v>
      </c>
      <c r="R24" s="3"/>
      <c r="S24" s="3"/>
      <c r="T24" s="3">
        <v>10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>
        <v>5</v>
      </c>
      <c r="AF24" s="3"/>
      <c r="AG24" s="3"/>
      <c r="AH24" s="3">
        <v>10</v>
      </c>
      <c r="AI24" s="3">
        <f>5-2</f>
        <v>3</v>
      </c>
      <c r="AJ24" s="3">
        <f>15+40-40</f>
        <v>15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>
        <v>5</v>
      </c>
      <c r="BE24" s="35"/>
    </row>
    <row r="25" spans="1:57" s="7" customFormat="1">
      <c r="A25" s="8" t="s">
        <v>20</v>
      </c>
      <c r="B25" s="9">
        <f>10+10-10</f>
        <v>10</v>
      </c>
      <c r="C25" s="3"/>
      <c r="D25" s="3">
        <f>35+50-8-8-4-12</f>
        <v>53</v>
      </c>
      <c r="E25" s="3"/>
      <c r="F25" s="3">
        <v>5</v>
      </c>
      <c r="G25" s="3">
        <v>7</v>
      </c>
      <c r="H25" s="3">
        <f>40-5-5-12-3</f>
        <v>15</v>
      </c>
      <c r="I25" s="3">
        <f>25-2-2-2</f>
        <v>19</v>
      </c>
      <c r="J25" s="3">
        <f>20-4</f>
        <v>16</v>
      </c>
      <c r="K25" s="3"/>
      <c r="L25" s="3">
        <v>20</v>
      </c>
      <c r="M25" s="3"/>
      <c r="N25" s="3">
        <f>4-1</f>
        <v>3</v>
      </c>
      <c r="O25" s="3">
        <f>11+10</f>
        <v>21</v>
      </c>
      <c r="P25" s="3">
        <f>55-5-2-3-10-3</f>
        <v>32</v>
      </c>
      <c r="Q25" s="3">
        <f>66-7-1-5-2-5</f>
        <v>46</v>
      </c>
      <c r="R25" s="3"/>
      <c r="S25" s="3"/>
      <c r="T25" s="3">
        <f>50-3-5-3</f>
        <v>39</v>
      </c>
      <c r="U25" s="3"/>
      <c r="V25" s="3">
        <v>9</v>
      </c>
      <c r="W25" s="3"/>
      <c r="X25" s="3">
        <v>6</v>
      </c>
      <c r="Y25" s="3">
        <v>2</v>
      </c>
      <c r="Z25" s="3"/>
      <c r="AA25" s="3">
        <f>20-2-1-3</f>
        <v>14</v>
      </c>
      <c r="AB25" s="3">
        <f>20-1-1-2-2</f>
        <v>14</v>
      </c>
      <c r="AC25" s="3">
        <f>25-5</f>
        <v>20</v>
      </c>
      <c r="AD25" s="3"/>
      <c r="AE25" s="3">
        <f>100-15-20-8-7-21</f>
        <v>29</v>
      </c>
      <c r="AF25" s="3"/>
      <c r="AG25" s="3">
        <f>36-6-3</f>
        <v>27</v>
      </c>
      <c r="AH25" s="3">
        <f>50-5-5-10</f>
        <v>30</v>
      </c>
      <c r="AI25" s="3">
        <v>2</v>
      </c>
      <c r="AJ25" s="3">
        <f>20+80-5-5-5-5-20</f>
        <v>60</v>
      </c>
      <c r="AK25" s="3"/>
      <c r="AL25" s="3">
        <f>110</f>
        <v>110</v>
      </c>
      <c r="AM25" s="3"/>
      <c r="AN25" s="3"/>
      <c r="AO25" s="3">
        <v>19</v>
      </c>
      <c r="AP25" s="3">
        <f>10+20+20-10-4-10-4-1-2-5</f>
        <v>14</v>
      </c>
      <c r="AQ25" s="3"/>
      <c r="AR25" s="3">
        <v>25</v>
      </c>
      <c r="AS25" s="3">
        <v>15</v>
      </c>
      <c r="AT25" s="3"/>
      <c r="AU25" s="3"/>
      <c r="AV25" s="3"/>
      <c r="AW25" s="3">
        <v>2</v>
      </c>
      <c r="AX25" s="3">
        <v>4</v>
      </c>
      <c r="AY25" s="3">
        <f>8+20-2-6</f>
        <v>20</v>
      </c>
      <c r="AZ25" s="3">
        <f>7-1-2</f>
        <v>4</v>
      </c>
      <c r="BA25" s="3"/>
      <c r="BB25" s="3"/>
      <c r="BC25" s="3">
        <f>2-1</f>
        <v>1</v>
      </c>
      <c r="BD25" s="3">
        <v>36</v>
      </c>
      <c r="BE25" s="35">
        <v>5</v>
      </c>
    </row>
    <row r="26" spans="1:57" s="7" customFormat="1">
      <c r="A26" s="8" t="s">
        <v>21</v>
      </c>
      <c r="B26" s="9">
        <v>10</v>
      </c>
      <c r="C26" s="3"/>
      <c r="D26" s="3">
        <f>20+10+60-10-5-5-10</f>
        <v>60</v>
      </c>
      <c r="E26" s="3"/>
      <c r="F26" s="3">
        <f>6-1-1</f>
        <v>4</v>
      </c>
      <c r="G26" s="3"/>
      <c r="H26" s="3">
        <f>60-10-10</f>
        <v>40</v>
      </c>
      <c r="I26" s="3">
        <v>2</v>
      </c>
      <c r="J26" s="3">
        <f>30-10</f>
        <v>20</v>
      </c>
      <c r="K26" s="3"/>
      <c r="L26" s="3">
        <v>28</v>
      </c>
      <c r="M26" s="3"/>
      <c r="N26" s="3">
        <f>7-1</f>
        <v>6</v>
      </c>
      <c r="O26" s="3">
        <f>10-1</f>
        <v>9</v>
      </c>
      <c r="P26" s="3">
        <f>62-2-3-5-2</f>
        <v>50</v>
      </c>
      <c r="Q26" s="3">
        <f>75-5-5-5-10</f>
        <v>50</v>
      </c>
      <c r="R26" s="3"/>
      <c r="S26" s="3"/>
      <c r="T26" s="3">
        <f>70-5-3-2</f>
        <v>60</v>
      </c>
      <c r="U26" s="3"/>
      <c r="V26" s="3">
        <f>60-3-4</f>
        <v>53</v>
      </c>
      <c r="W26" s="3"/>
      <c r="X26" s="3">
        <v>20</v>
      </c>
      <c r="Y26" s="3">
        <f>6-1</f>
        <v>5</v>
      </c>
      <c r="Z26" s="3"/>
      <c r="AA26" s="3">
        <v>30</v>
      </c>
      <c r="AB26" s="3">
        <v>30</v>
      </c>
      <c r="AC26" s="3">
        <v>30</v>
      </c>
      <c r="AD26" s="3"/>
      <c r="AE26" s="3">
        <f>70-5-5-5-3</f>
        <v>52</v>
      </c>
      <c r="AF26" s="3"/>
      <c r="AG26" s="3">
        <v>25</v>
      </c>
      <c r="AH26" s="3">
        <v>38</v>
      </c>
      <c r="AI26" s="3">
        <v>5</v>
      </c>
      <c r="AJ26" s="3">
        <v>113</v>
      </c>
      <c r="AK26" s="3"/>
      <c r="AL26" s="3">
        <f>160</f>
        <v>160</v>
      </c>
      <c r="AM26" s="3"/>
      <c r="AN26" s="3"/>
      <c r="AO26" s="3">
        <v>51</v>
      </c>
      <c r="AP26" s="3">
        <f>20+30</f>
        <v>50</v>
      </c>
      <c r="AQ26" s="3"/>
      <c r="AR26" s="3">
        <v>55</v>
      </c>
      <c r="AS26" s="3">
        <f>1+30</f>
        <v>31</v>
      </c>
      <c r="AT26" s="3"/>
      <c r="AU26" s="3"/>
      <c r="AV26" s="3"/>
      <c r="AW26" s="3"/>
      <c r="AX26" s="3">
        <f>5-1-2</f>
        <v>2</v>
      </c>
      <c r="AY26" s="3">
        <v>29</v>
      </c>
      <c r="AZ26" s="3">
        <v>1</v>
      </c>
      <c r="BA26" s="3">
        <v>3</v>
      </c>
      <c r="BB26" s="3"/>
      <c r="BC26" s="3">
        <f>3-1</f>
        <v>2</v>
      </c>
      <c r="BD26" s="3">
        <v>55</v>
      </c>
      <c r="BE26" s="35"/>
    </row>
    <row r="27" spans="1:57" s="7" customFormat="1">
      <c r="A27" s="8" t="s">
        <v>22</v>
      </c>
      <c r="B27" s="9">
        <v>10</v>
      </c>
      <c r="C27" s="3"/>
      <c r="D27" s="3">
        <f>60-5-5-10-10-10</f>
        <v>20</v>
      </c>
      <c r="E27" s="3"/>
      <c r="F27" s="3">
        <f>3-1-1</f>
        <v>1</v>
      </c>
      <c r="G27" s="3"/>
      <c r="H27" s="3"/>
      <c r="I27" s="3">
        <f>20-3</f>
        <v>17</v>
      </c>
      <c r="J27" s="3"/>
      <c r="K27" s="3"/>
      <c r="L27" s="3">
        <v>10</v>
      </c>
      <c r="M27" s="3"/>
      <c r="N27" s="3">
        <f>3-1</f>
        <v>2</v>
      </c>
      <c r="O27" s="3">
        <f>10-2-2</f>
        <v>6</v>
      </c>
      <c r="P27" s="3">
        <f>50-5-5-10-5-5</f>
        <v>20</v>
      </c>
      <c r="Q27" s="3">
        <f>60-5-5-5-10</f>
        <v>35</v>
      </c>
      <c r="R27" s="3"/>
      <c r="S27" s="3"/>
      <c r="T27" s="3">
        <f>40-5-5-5-5</f>
        <v>20</v>
      </c>
      <c r="U27" s="3"/>
      <c r="V27" s="3"/>
      <c r="W27" s="3"/>
      <c r="X27" s="3">
        <v>10</v>
      </c>
      <c r="Y27" s="3">
        <v>1</v>
      </c>
      <c r="Z27" s="3"/>
      <c r="AA27" s="3">
        <v>5</v>
      </c>
      <c r="AB27" s="3">
        <f>10-2-2-1</f>
        <v>5</v>
      </c>
      <c r="AC27" s="3">
        <v>5</v>
      </c>
      <c r="AD27" s="3"/>
      <c r="AE27" s="3">
        <f>50-5-5-10-5-5</f>
        <v>20</v>
      </c>
      <c r="AF27" s="3"/>
      <c r="AG27" s="3">
        <v>4</v>
      </c>
      <c r="AH27" s="3">
        <v>10</v>
      </c>
      <c r="AI27" s="3">
        <v>3</v>
      </c>
      <c r="AJ27" s="3">
        <v>9</v>
      </c>
      <c r="AK27" s="3"/>
      <c r="AL27" s="3">
        <f>140</f>
        <v>140</v>
      </c>
      <c r="AM27" s="3"/>
      <c r="AN27" s="3"/>
      <c r="AO27" s="3">
        <v>30</v>
      </c>
      <c r="AP27" s="3">
        <f>20+10-5-10</f>
        <v>15</v>
      </c>
      <c r="AQ27" s="3"/>
      <c r="AR27" s="3">
        <v>20</v>
      </c>
      <c r="AS27" s="3">
        <f>12+20</f>
        <v>32</v>
      </c>
      <c r="AT27" s="3"/>
      <c r="AU27" s="3"/>
      <c r="AV27" s="3"/>
      <c r="AW27" s="3"/>
      <c r="AX27" s="3">
        <v>2</v>
      </c>
      <c r="AY27" s="3">
        <v>7</v>
      </c>
      <c r="AZ27" s="3"/>
      <c r="BA27" s="3"/>
      <c r="BB27" s="3"/>
      <c r="BC27" s="3">
        <v>1</v>
      </c>
      <c r="BD27" s="3">
        <v>15</v>
      </c>
      <c r="BE27" s="35"/>
    </row>
    <row r="28" spans="1:57" s="7" customFormat="1">
      <c r="A28" s="8" t="s">
        <v>23</v>
      </c>
      <c r="B28" s="9">
        <v>10</v>
      </c>
      <c r="C28" s="3"/>
      <c r="D28" s="3">
        <f>50-10-10-10-10</f>
        <v>10</v>
      </c>
      <c r="E28" s="3"/>
      <c r="F28" s="3">
        <f>5-1</f>
        <v>4</v>
      </c>
      <c r="G28" s="3"/>
      <c r="H28" s="3">
        <f>20-5-5</f>
        <v>10</v>
      </c>
      <c r="I28" s="3"/>
      <c r="J28" s="3">
        <v>10</v>
      </c>
      <c r="K28" s="3"/>
      <c r="L28" s="3">
        <f>15-5</f>
        <v>10</v>
      </c>
      <c r="M28" s="3">
        <v>5</v>
      </c>
      <c r="N28" s="3">
        <f>4-1</f>
        <v>3</v>
      </c>
      <c r="O28" s="3">
        <f>10</f>
        <v>10</v>
      </c>
      <c r="P28" s="3">
        <f>50-10-5-5-5</f>
        <v>25</v>
      </c>
      <c r="Q28" s="3">
        <f>50-10-10-10-10</f>
        <v>10</v>
      </c>
      <c r="R28" s="3"/>
      <c r="S28" s="3"/>
      <c r="T28" s="3">
        <f>50-10-10</f>
        <v>30</v>
      </c>
      <c r="U28" s="3"/>
      <c r="V28" s="3"/>
      <c r="W28" s="3"/>
      <c r="X28" s="3">
        <v>20</v>
      </c>
      <c r="Y28" s="3">
        <f>5-1</f>
        <v>4</v>
      </c>
      <c r="Z28" s="3"/>
      <c r="AA28" s="3">
        <v>10</v>
      </c>
      <c r="AB28" s="3">
        <f>10-1</f>
        <v>9</v>
      </c>
      <c r="AC28" s="3">
        <v>10</v>
      </c>
      <c r="AD28" s="3"/>
      <c r="AE28" s="3">
        <f>50-10-10-10-10</f>
        <v>10</v>
      </c>
      <c r="AF28" s="3"/>
      <c r="AG28" s="3">
        <v>10</v>
      </c>
      <c r="AH28" s="3">
        <v>30</v>
      </c>
      <c r="AI28" s="3">
        <f>7-1-3-1</f>
        <v>2</v>
      </c>
      <c r="AJ28" s="3">
        <v>10</v>
      </c>
      <c r="AK28" s="3"/>
      <c r="AL28" s="3"/>
      <c r="AM28" s="3"/>
      <c r="AN28" s="3"/>
      <c r="AO28" s="3">
        <v>10</v>
      </c>
      <c r="AP28" s="3">
        <f>10+20+10-10</f>
        <v>30</v>
      </c>
      <c r="AQ28" s="3"/>
      <c r="AR28" s="3">
        <v>20</v>
      </c>
      <c r="AS28" s="3">
        <v>15</v>
      </c>
      <c r="AT28" s="3"/>
      <c r="AU28" s="3"/>
      <c r="AV28" s="3"/>
      <c r="AW28" s="3"/>
      <c r="AX28" s="3">
        <v>2</v>
      </c>
      <c r="AY28" s="3">
        <v>10</v>
      </c>
      <c r="AZ28" s="3"/>
      <c r="BA28" s="3"/>
      <c r="BB28" s="3"/>
      <c r="BC28" s="3">
        <v>1</v>
      </c>
      <c r="BD28" s="3">
        <v>20</v>
      </c>
      <c r="BE28" s="35"/>
    </row>
    <row r="29" spans="1:57" s="7" customFormat="1">
      <c r="A29" s="8" t="s">
        <v>24</v>
      </c>
      <c r="B29" s="9">
        <v>10</v>
      </c>
      <c r="C29" s="3"/>
      <c r="D29" s="3">
        <f>47-5-2-2-7-5-5</f>
        <v>21</v>
      </c>
      <c r="E29" s="3"/>
      <c r="F29" s="3"/>
      <c r="G29" s="3"/>
      <c r="H29" s="3">
        <f>20-2-4</f>
        <v>14</v>
      </c>
      <c r="I29" s="3"/>
      <c r="J29" s="3">
        <f>10-2</f>
        <v>8</v>
      </c>
      <c r="K29" s="3"/>
      <c r="L29" s="3">
        <v>10</v>
      </c>
      <c r="M29" s="3"/>
      <c r="N29" s="3">
        <v>2</v>
      </c>
      <c r="O29" s="3">
        <f>10</f>
        <v>10</v>
      </c>
      <c r="P29" s="3">
        <f>40-2-2-4-4</f>
        <v>28</v>
      </c>
      <c r="Q29" s="3">
        <f>40-3-4-4-5-2</f>
        <v>22</v>
      </c>
      <c r="R29" s="3"/>
      <c r="S29" s="3"/>
      <c r="T29" s="3">
        <f>50-5-4-4-4-5</f>
        <v>28</v>
      </c>
      <c r="U29" s="3"/>
      <c r="V29" s="3">
        <v>7</v>
      </c>
      <c r="W29" s="3"/>
      <c r="X29" s="3">
        <v>12</v>
      </c>
      <c r="Y29" s="3">
        <v>1</v>
      </c>
      <c r="Z29" s="3"/>
      <c r="AA29" s="3">
        <f>14-3-1-1-1</f>
        <v>8</v>
      </c>
      <c r="AB29" s="3">
        <f>14-1-3-1</f>
        <v>9</v>
      </c>
      <c r="AC29" s="3">
        <f>10-1</f>
        <v>9</v>
      </c>
      <c r="AD29" s="3"/>
      <c r="AE29" s="3">
        <f>50-4-3-4-4-7</f>
        <v>28</v>
      </c>
      <c r="AF29" s="3"/>
      <c r="AG29" s="3">
        <v>7</v>
      </c>
      <c r="AH29" s="3">
        <v>30</v>
      </c>
      <c r="AI29" s="3">
        <v>5</v>
      </c>
      <c r="AJ29" s="3">
        <v>36</v>
      </c>
      <c r="AK29" s="3"/>
      <c r="AL29" s="3">
        <f>120</f>
        <v>120</v>
      </c>
      <c r="AM29" s="3"/>
      <c r="AN29" s="3"/>
      <c r="AO29" s="3">
        <v>34</v>
      </c>
      <c r="AP29" s="3">
        <f>20+10-2</f>
        <v>28</v>
      </c>
      <c r="AQ29" s="3"/>
      <c r="AR29" s="3">
        <v>35</v>
      </c>
      <c r="AS29" s="3">
        <f>3+15</f>
        <v>18</v>
      </c>
      <c r="AT29" s="3"/>
      <c r="AU29" s="3"/>
      <c r="AV29" s="3"/>
      <c r="AW29" s="3"/>
      <c r="AX29" s="3"/>
      <c r="AY29" s="3">
        <v>4</v>
      </c>
      <c r="AZ29" s="3">
        <f>6-1</f>
        <v>5</v>
      </c>
      <c r="BA29" s="3"/>
      <c r="BB29" s="3"/>
      <c r="BC29" s="3"/>
      <c r="BD29" s="3">
        <v>31</v>
      </c>
      <c r="BE29" s="35"/>
    </row>
    <row r="30" spans="1:57" s="7" customFormat="1">
      <c r="A30" s="8" t="s">
        <v>103</v>
      </c>
      <c r="B30" s="9"/>
      <c r="C30" s="3"/>
      <c r="D30" s="3">
        <f>9+50+20+70-10</f>
        <v>139</v>
      </c>
      <c r="E30" s="3"/>
      <c r="F30" s="3">
        <f>9-3-1</f>
        <v>5</v>
      </c>
      <c r="G30" s="3"/>
      <c r="H30" s="3">
        <v>20</v>
      </c>
      <c r="I30" s="3">
        <f>16-2</f>
        <v>14</v>
      </c>
      <c r="J30" s="3">
        <v>10</v>
      </c>
      <c r="K30" s="3"/>
      <c r="L30" s="3">
        <v>20</v>
      </c>
      <c r="M30" s="3"/>
      <c r="N30" s="3"/>
      <c r="O30" s="3">
        <f>10</f>
        <v>10</v>
      </c>
      <c r="P30" s="3">
        <f>36-5-6+90-5-10</f>
        <v>100</v>
      </c>
      <c r="Q30" s="3">
        <f>79-10</f>
        <v>69</v>
      </c>
      <c r="R30" s="3"/>
      <c r="S30" s="3"/>
      <c r="T30" s="3">
        <f>49-19-10</f>
        <v>20</v>
      </c>
      <c r="U30" s="3"/>
      <c r="V30" s="3"/>
      <c r="W30" s="3"/>
      <c r="X30" s="3">
        <f>30-10</f>
        <v>20</v>
      </c>
      <c r="Y30" s="3">
        <f>9-1</f>
        <v>8</v>
      </c>
      <c r="Z30" s="3"/>
      <c r="AA30" s="3"/>
      <c r="AB30" s="3">
        <v>10</v>
      </c>
      <c r="AC30" s="3">
        <f>20-10</f>
        <v>10</v>
      </c>
      <c r="AD30" s="3"/>
      <c r="AE30" s="3">
        <f>100+14+60-10-9-10</f>
        <v>145</v>
      </c>
      <c r="AF30" s="3"/>
      <c r="AG30" s="3">
        <v>18</v>
      </c>
      <c r="AH30" s="3">
        <f>15+30+23+60-10-20-10-10-13</f>
        <v>65</v>
      </c>
      <c r="AI30" s="3"/>
      <c r="AJ30" s="3">
        <f>40+70+40-24-46</f>
        <v>80</v>
      </c>
      <c r="AK30" s="3"/>
      <c r="AL30" s="3">
        <f>15+90</f>
        <v>105</v>
      </c>
      <c r="AM30" s="3"/>
      <c r="AN30" s="3"/>
      <c r="AO30" s="3">
        <v>30</v>
      </c>
      <c r="AP30" s="3">
        <f>5+20+30</f>
        <v>55</v>
      </c>
      <c r="AQ30" s="3"/>
      <c r="AR30" s="3">
        <f>50-13-7-1-20</f>
        <v>9</v>
      </c>
      <c r="AS30" s="3">
        <f>10-3-1+10-3-3</f>
        <v>10</v>
      </c>
      <c r="AT30" s="3">
        <v>2</v>
      </c>
      <c r="AU30" s="3"/>
      <c r="AV30" s="3"/>
      <c r="AW30" s="3"/>
      <c r="AX30" s="3">
        <f>2-1</f>
        <v>1</v>
      </c>
      <c r="AY30" s="3">
        <f>10+10</f>
        <v>20</v>
      </c>
      <c r="AZ30" s="3">
        <f>10-1</f>
        <v>9</v>
      </c>
      <c r="BA30" s="3"/>
      <c r="BB30" s="3"/>
      <c r="BC30" s="3">
        <f>1</f>
        <v>1</v>
      </c>
      <c r="BD30" s="3">
        <v>39</v>
      </c>
      <c r="BE30" s="35"/>
    </row>
    <row r="31" spans="1:57" s="7" customFormat="1">
      <c r="A31" s="8" t="s">
        <v>25</v>
      </c>
      <c r="B31" s="9"/>
      <c r="C31" s="3"/>
      <c r="D31" s="3"/>
      <c r="E31" s="3"/>
      <c r="F31" s="3"/>
      <c r="G31" s="3"/>
      <c r="H31" s="3"/>
      <c r="I31" s="3">
        <v>3</v>
      </c>
      <c r="J31" s="3"/>
      <c r="K31" s="3"/>
      <c r="L31" s="3"/>
      <c r="M31" s="3"/>
      <c r="N31" s="3"/>
      <c r="O31" s="3"/>
      <c r="P31" s="3"/>
      <c r="Q31" s="3">
        <v>14</v>
      </c>
      <c r="R31" s="3"/>
      <c r="S31" s="3"/>
      <c r="T31" s="3"/>
      <c r="U31" s="3"/>
      <c r="V31" s="3"/>
      <c r="W31" s="3">
        <v>10</v>
      </c>
      <c r="X31" s="3"/>
      <c r="Y31" s="3">
        <v>1</v>
      </c>
      <c r="Z31" s="3"/>
      <c r="AA31" s="3"/>
      <c r="AB31" s="3"/>
      <c r="AC31" s="3"/>
      <c r="AD31" s="3"/>
      <c r="AE31" s="3">
        <f>20-10</f>
        <v>10</v>
      </c>
      <c r="AF31" s="3"/>
      <c r="AG31" s="3"/>
      <c r="AH31" s="3">
        <f>30-10</f>
        <v>20</v>
      </c>
      <c r="AI31" s="3">
        <f>9-1-1-1</f>
        <v>6</v>
      </c>
      <c r="AJ31" s="3">
        <v>40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>
        <f>5-2</f>
        <v>3</v>
      </c>
      <c r="BA31" s="3"/>
      <c r="BB31" s="3"/>
      <c r="BC31" s="3">
        <v>1</v>
      </c>
      <c r="BD31" s="3">
        <v>10</v>
      </c>
      <c r="BE31" s="35">
        <v>4</v>
      </c>
    </row>
    <row r="32" spans="1:57" s="7" customFormat="1">
      <c r="A32" s="8" t="s">
        <v>26</v>
      </c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10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5"/>
    </row>
    <row r="33" spans="1:57" s="7" customFormat="1">
      <c r="A33" s="8" t="s">
        <v>27</v>
      </c>
      <c r="B33" s="9"/>
      <c r="C33" s="3"/>
      <c r="D33" s="3">
        <f>8-2-4</f>
        <v>2</v>
      </c>
      <c r="E33" s="3"/>
      <c r="F33" s="3"/>
      <c r="G33" s="3"/>
      <c r="H33" s="3"/>
      <c r="I33" s="3">
        <f>3-1</f>
        <v>2</v>
      </c>
      <c r="J33" s="3"/>
      <c r="K33" s="3"/>
      <c r="L33" s="3"/>
      <c r="M33" s="3"/>
      <c r="N33" s="3">
        <v>1</v>
      </c>
      <c r="O33" s="3"/>
      <c r="P33" s="3">
        <v>5</v>
      </c>
      <c r="Q33" s="3">
        <f>8-2</f>
        <v>6</v>
      </c>
      <c r="R33" s="3"/>
      <c r="S33" s="3"/>
      <c r="T33" s="3"/>
      <c r="U33" s="3"/>
      <c r="V33" s="3"/>
      <c r="W33" s="3"/>
      <c r="X33" s="3"/>
      <c r="Y33" s="3"/>
      <c r="Z33" s="3"/>
      <c r="AA33" s="3">
        <v>10</v>
      </c>
      <c r="AB33" s="3">
        <v>10</v>
      </c>
      <c r="AC33" s="3"/>
      <c r="AD33" s="3"/>
      <c r="AE33" s="3">
        <f>28-2-2</f>
        <v>24</v>
      </c>
      <c r="AF33" s="3"/>
      <c r="AG33" s="3"/>
      <c r="AH33" s="3">
        <v>28</v>
      </c>
      <c r="AI33" s="3">
        <v>4</v>
      </c>
      <c r="AJ33" s="3">
        <v>40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5"/>
    </row>
    <row r="34" spans="1:57" s="7" customFormat="1" ht="15.75" thickBot="1">
      <c r="A34" s="12" t="s">
        <v>28</v>
      </c>
      <c r="B34" s="13">
        <f>10</f>
        <v>10</v>
      </c>
      <c r="C34" s="14"/>
      <c r="D34" s="14">
        <f>25+20+60-5-5</f>
        <v>95</v>
      </c>
      <c r="E34" s="14"/>
      <c r="F34" s="14">
        <f>6-1-1</f>
        <v>4</v>
      </c>
      <c r="G34" s="14"/>
      <c r="H34" s="14">
        <f>20-2-5-3-2</f>
        <v>8</v>
      </c>
      <c r="I34" s="14">
        <f>7-2</f>
        <v>5</v>
      </c>
      <c r="J34" s="14">
        <v>20</v>
      </c>
      <c r="K34" s="14"/>
      <c r="L34" s="14">
        <v>20</v>
      </c>
      <c r="M34" s="14"/>
      <c r="N34" s="14">
        <v>2</v>
      </c>
      <c r="O34" s="14">
        <f>10</f>
        <v>10</v>
      </c>
      <c r="P34" s="14">
        <f>60-4-3-5-5-3</f>
        <v>40</v>
      </c>
      <c r="Q34" s="14">
        <f>73-3-5</f>
        <v>65</v>
      </c>
      <c r="R34" s="14"/>
      <c r="S34" s="14"/>
      <c r="T34" s="14">
        <f>60-5-3</f>
        <v>52</v>
      </c>
      <c r="U34" s="14">
        <f>9-2</f>
        <v>7</v>
      </c>
      <c r="V34" s="14">
        <v>40</v>
      </c>
      <c r="W34" s="14"/>
      <c r="X34" s="14">
        <v>10</v>
      </c>
      <c r="Y34" s="14">
        <f>6-1</f>
        <v>5</v>
      </c>
      <c r="Z34" s="14"/>
      <c r="AA34" s="14">
        <v>20</v>
      </c>
      <c r="AB34" s="14">
        <v>20</v>
      </c>
      <c r="AC34" s="14">
        <v>20</v>
      </c>
      <c r="AD34" s="14"/>
      <c r="AE34" s="14">
        <f>80-4-5-5-6-5</f>
        <v>55</v>
      </c>
      <c r="AF34" s="14"/>
      <c r="AG34" s="14">
        <f>20-2-2-2-2</f>
        <v>12</v>
      </c>
      <c r="AH34" s="14">
        <f>30+60-5-5-20</f>
        <v>60</v>
      </c>
      <c r="AI34" s="14">
        <f>5-2</f>
        <v>3</v>
      </c>
      <c r="AJ34" s="14">
        <f>40+80-10-20-10-10</f>
        <v>70</v>
      </c>
      <c r="AK34" s="14"/>
      <c r="AL34" s="14">
        <f>5+100</f>
        <v>105</v>
      </c>
      <c r="AM34" s="14"/>
      <c r="AN34" s="14"/>
      <c r="AO34" s="14">
        <v>40</v>
      </c>
      <c r="AP34" s="14">
        <f>20+10</f>
        <v>30</v>
      </c>
      <c r="AQ34" s="14"/>
      <c r="AR34" s="14">
        <v>53</v>
      </c>
      <c r="AS34" s="14">
        <f>3+10-3-1</f>
        <v>9</v>
      </c>
      <c r="AT34" s="14">
        <v>2</v>
      </c>
      <c r="AU34" s="14"/>
      <c r="AV34" s="14"/>
      <c r="AW34" s="14"/>
      <c r="AX34" s="14">
        <f>2-1</f>
        <v>1</v>
      </c>
      <c r="AY34" s="14">
        <f>9+20-1-1</f>
        <v>27</v>
      </c>
      <c r="AZ34" s="14">
        <f>6-1</f>
        <v>5</v>
      </c>
      <c r="BA34" s="14"/>
      <c r="BB34" s="14"/>
      <c r="BC34" s="14">
        <f>2</f>
        <v>2</v>
      </c>
      <c r="BD34" s="14">
        <f>50-4-6</f>
        <v>40</v>
      </c>
      <c r="BE34" s="36">
        <v>5</v>
      </c>
    </row>
    <row r="36" spans="1:57" s="7" customFormat="1">
      <c r="B36" s="34"/>
      <c r="C36" s="34"/>
      <c r="D36" s="34"/>
      <c r="E36" s="34"/>
      <c r="F36" s="34"/>
      <c r="G36" s="34"/>
      <c r="K36" s="34"/>
      <c r="L36" s="34"/>
      <c r="M36" s="34"/>
      <c r="N36" s="34"/>
      <c r="O36" s="34"/>
      <c r="P36" s="34"/>
      <c r="Q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E36" s="34"/>
      <c r="AF36" s="34"/>
      <c r="AG36" s="34"/>
      <c r="BD36" s="34"/>
      <c r="BE36" s="34"/>
    </row>
    <row r="37" spans="1:57">
      <c r="B37" s="7">
        <f>SUM(B5:B34)</f>
        <v>163</v>
      </c>
    </row>
  </sheetData>
  <mergeCells count="1">
    <mergeCell ref="M1:AD1"/>
  </mergeCells>
  <pageMargins left="0.23622047244094491" right="0.15748031496062992" top="0.31496062992125984" bottom="0.19685039370078741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workbookViewId="0">
      <selection activeCell="B1" sqref="B1:M1"/>
    </sheetView>
  </sheetViews>
  <sheetFormatPr defaultRowHeight="15"/>
  <cols>
    <col min="1" max="1" width="12" customWidth="1"/>
    <col min="2" max="3" width="10.85546875" style="7" customWidth="1"/>
    <col min="4" max="5" width="7" style="7" customWidth="1"/>
    <col min="6" max="6" width="12.140625" style="7" customWidth="1"/>
    <col min="7" max="9" width="9.140625" style="7"/>
    <col min="10" max="10" width="14.140625" style="7" customWidth="1"/>
    <col min="11" max="12" width="13.28515625" style="7" customWidth="1"/>
    <col min="13" max="13" width="15.85546875" style="7" customWidth="1"/>
    <col min="14" max="14" width="9.140625" style="7"/>
  </cols>
  <sheetData>
    <row r="1" spans="1:22" ht="15" customHeight="1">
      <c r="B1" s="73" t="s">
        <v>106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63"/>
    </row>
    <row r="2" spans="1:22" ht="25.5" customHeight="1" thickBot="1"/>
    <row r="3" spans="1:22" ht="54.75" customHeight="1" thickBot="1">
      <c r="A3" s="15" t="s">
        <v>46</v>
      </c>
      <c r="B3" s="58" t="s">
        <v>90</v>
      </c>
      <c r="C3" s="58" t="s">
        <v>107</v>
      </c>
      <c r="D3" s="53" t="s">
        <v>91</v>
      </c>
      <c r="E3" s="53" t="s">
        <v>98</v>
      </c>
      <c r="F3" s="59" t="s">
        <v>92</v>
      </c>
      <c r="G3" s="53" t="s">
        <v>93</v>
      </c>
      <c r="H3" s="53" t="s">
        <v>94</v>
      </c>
      <c r="I3" s="53" t="s">
        <v>95</v>
      </c>
      <c r="J3" s="55" t="s">
        <v>101</v>
      </c>
      <c r="K3" s="55" t="s">
        <v>99</v>
      </c>
      <c r="L3" s="56" t="s">
        <v>96</v>
      </c>
      <c r="M3" s="68" t="s">
        <v>108</v>
      </c>
      <c r="N3" s="64"/>
      <c r="O3" s="1"/>
      <c r="P3" s="1"/>
      <c r="Q3" s="1"/>
      <c r="R3" s="1"/>
      <c r="S3" s="1"/>
      <c r="T3" s="1"/>
      <c r="U3" s="1"/>
      <c r="V3" s="1"/>
    </row>
    <row r="4" spans="1:22" ht="15.75" thickBot="1">
      <c r="A4" s="16" t="s">
        <v>3</v>
      </c>
      <c r="B4" s="60" t="s">
        <v>97</v>
      </c>
      <c r="C4" s="60" t="s">
        <v>97</v>
      </c>
      <c r="D4" s="54" t="s">
        <v>97</v>
      </c>
      <c r="E4" s="54" t="s">
        <v>97</v>
      </c>
      <c r="F4" s="54" t="s">
        <v>97</v>
      </c>
      <c r="G4" s="54" t="s">
        <v>97</v>
      </c>
      <c r="H4" s="54" t="s">
        <v>97</v>
      </c>
      <c r="I4" s="54" t="s">
        <v>97</v>
      </c>
      <c r="J4" s="54" t="s">
        <v>97</v>
      </c>
      <c r="K4" s="54" t="s">
        <v>97</v>
      </c>
      <c r="L4" s="57" t="s">
        <v>97</v>
      </c>
      <c r="M4" s="57" t="s">
        <v>97</v>
      </c>
      <c r="N4" s="64"/>
      <c r="O4" s="2"/>
    </row>
    <row r="5" spans="1:22" s="7" customFormat="1">
      <c r="A5" s="18" t="s">
        <v>0</v>
      </c>
      <c r="B5" s="19">
        <f>90+20</f>
        <v>110</v>
      </c>
      <c r="C5" s="19"/>
      <c r="D5" s="20"/>
      <c r="E5" s="20"/>
      <c r="F5" s="20">
        <v>7</v>
      </c>
      <c r="G5" s="20">
        <f>6-3-1</f>
        <v>2</v>
      </c>
      <c r="H5" s="20">
        <f>9+10+20-1-2-6</f>
        <v>30</v>
      </c>
      <c r="I5" s="20">
        <f>9-1-1-3</f>
        <v>4</v>
      </c>
      <c r="J5" s="20">
        <f>6-1</f>
        <v>5</v>
      </c>
      <c r="K5" s="21"/>
      <c r="L5" s="22">
        <v>4</v>
      </c>
      <c r="M5" s="22"/>
      <c r="N5" s="65"/>
      <c r="O5" s="23"/>
    </row>
    <row r="6" spans="1:22" s="7" customFormat="1">
      <c r="A6" s="24" t="s">
        <v>2</v>
      </c>
      <c r="B6" s="25">
        <f>110</f>
        <v>110</v>
      </c>
      <c r="C6" s="25">
        <v>10</v>
      </c>
      <c r="D6" s="26"/>
      <c r="E6" s="26"/>
      <c r="F6" s="26">
        <v>16</v>
      </c>
      <c r="G6" s="26">
        <f>20+11+110-4-3-1-10-3</f>
        <v>120</v>
      </c>
      <c r="H6" s="26">
        <f>30+10-9-1-9-1</f>
        <v>20</v>
      </c>
      <c r="I6" s="26">
        <f>14+50-8-4-2-6-1</f>
        <v>43</v>
      </c>
      <c r="J6" s="26"/>
      <c r="K6" s="27">
        <f>20+30-10-20</f>
        <v>20</v>
      </c>
      <c r="L6" s="26"/>
      <c r="M6" s="67">
        <v>30</v>
      </c>
      <c r="N6" s="66"/>
      <c r="O6" s="23"/>
    </row>
    <row r="7" spans="1:22" s="7" customFormat="1">
      <c r="A7" s="24" t="s">
        <v>5</v>
      </c>
      <c r="B7" s="25">
        <f>10+140+20+120</f>
        <v>290</v>
      </c>
      <c r="C7" s="25">
        <v>10</v>
      </c>
      <c r="D7" s="26"/>
      <c r="E7" s="26"/>
      <c r="F7" s="26">
        <v>16</v>
      </c>
      <c r="G7" s="26">
        <f>7+210-1-2-4-3</f>
        <v>207</v>
      </c>
      <c r="H7" s="26">
        <f>18+20+30-8-10</f>
        <v>50</v>
      </c>
      <c r="I7" s="26">
        <f>61-7-1-4-1</f>
        <v>48</v>
      </c>
      <c r="J7" s="26">
        <f>13-2-3-2-1</f>
        <v>5</v>
      </c>
      <c r="K7" s="27">
        <f>20+41-10-19-13-12</f>
        <v>7</v>
      </c>
      <c r="L7" s="26">
        <v>10</v>
      </c>
      <c r="M7" s="67">
        <v>40</v>
      </c>
      <c r="N7" s="66"/>
      <c r="O7" s="23"/>
    </row>
    <row r="8" spans="1:22" s="7" customFormat="1" ht="15" customHeight="1">
      <c r="A8" s="28" t="s">
        <v>6</v>
      </c>
      <c r="B8" s="25">
        <v>220</v>
      </c>
      <c r="C8" s="25">
        <v>10</v>
      </c>
      <c r="D8" s="26"/>
      <c r="E8" s="26"/>
      <c r="F8" s="26">
        <v>17</v>
      </c>
      <c r="G8" s="26">
        <f>5+110-2-1-3</f>
        <v>109</v>
      </c>
      <c r="H8" s="26">
        <f>10+10+40+20+30-3-2-10-5</f>
        <v>90</v>
      </c>
      <c r="I8" s="26">
        <f>36+37-3-3</f>
        <v>67</v>
      </c>
      <c r="J8" s="26"/>
      <c r="K8" s="27"/>
      <c r="L8" s="26">
        <v>20</v>
      </c>
      <c r="M8" s="67">
        <v>19</v>
      </c>
      <c r="N8" s="66"/>
      <c r="O8" s="23"/>
    </row>
    <row r="9" spans="1:22" s="7" customFormat="1">
      <c r="A9" s="24" t="s">
        <v>7</v>
      </c>
      <c r="B9" s="25">
        <v>100</v>
      </c>
      <c r="C9" s="25">
        <v>4</v>
      </c>
      <c r="D9" s="26"/>
      <c r="E9" s="26"/>
      <c r="F9" s="26">
        <v>15</v>
      </c>
      <c r="G9" s="26">
        <f>229-2-11-11-25</f>
        <v>180</v>
      </c>
      <c r="H9" s="26">
        <f>30+30-4-9-7-6</f>
        <v>34</v>
      </c>
      <c r="I9" s="26">
        <f>20+88-2-9-9-4-2</f>
        <v>82</v>
      </c>
      <c r="J9" s="26"/>
      <c r="K9" s="27">
        <f>20+26-16+10-4-10-12</f>
        <v>14</v>
      </c>
      <c r="L9" s="26">
        <v>4</v>
      </c>
      <c r="M9" s="67">
        <v>16</v>
      </c>
      <c r="N9" s="66"/>
      <c r="O9" s="23"/>
    </row>
    <row r="10" spans="1:22" s="7" customFormat="1">
      <c r="A10" s="24" t="s">
        <v>8</v>
      </c>
      <c r="B10" s="25"/>
      <c r="C10" s="25"/>
      <c r="D10" s="26"/>
      <c r="E10" s="26"/>
      <c r="F10" s="26">
        <v>4</v>
      </c>
      <c r="G10" s="26">
        <f>64-1-4-3</f>
        <v>56</v>
      </c>
      <c r="H10" s="26">
        <f>10+10-2-8</f>
        <v>10</v>
      </c>
      <c r="I10" s="26">
        <f>9+6-2-1-2-3</f>
        <v>7</v>
      </c>
      <c r="J10" s="26"/>
      <c r="K10" s="27">
        <f>10+10-10</f>
        <v>10</v>
      </c>
      <c r="L10" s="26">
        <v>10</v>
      </c>
      <c r="M10" s="67">
        <v>8</v>
      </c>
      <c r="N10" s="66"/>
      <c r="O10" s="23"/>
    </row>
    <row r="11" spans="1:22" s="7" customFormat="1">
      <c r="A11" s="24" t="s">
        <v>9</v>
      </c>
      <c r="B11" s="25">
        <f>10</f>
        <v>10</v>
      </c>
      <c r="C11" s="25"/>
      <c r="D11" s="26"/>
      <c r="E11" s="26"/>
      <c r="F11" s="26"/>
      <c r="G11" s="26">
        <f>18-2</f>
        <v>16</v>
      </c>
      <c r="H11" s="26"/>
      <c r="I11" s="26"/>
      <c r="J11" s="26"/>
      <c r="K11" s="27"/>
      <c r="L11" s="26">
        <v>2</v>
      </c>
      <c r="M11" s="67"/>
      <c r="N11" s="66"/>
      <c r="O11" s="23"/>
    </row>
    <row r="12" spans="1:22" s="7" customFormat="1">
      <c r="A12" s="24" t="s">
        <v>10</v>
      </c>
      <c r="B12" s="25">
        <f>120+70</f>
        <v>190</v>
      </c>
      <c r="C12" s="25">
        <v>10</v>
      </c>
      <c r="D12" s="26"/>
      <c r="E12" s="26"/>
      <c r="F12" s="26">
        <v>17</v>
      </c>
      <c r="G12" s="26">
        <f>16+133-2</f>
        <v>147</v>
      </c>
      <c r="H12" s="26">
        <f>10+30+30-10-10</f>
        <v>50</v>
      </c>
      <c r="I12" s="26">
        <f>59-3-10-1-3</f>
        <v>42</v>
      </c>
      <c r="J12" s="26"/>
      <c r="K12" s="27">
        <f>20+40-11-29</f>
        <v>20</v>
      </c>
      <c r="L12" s="26">
        <v>20</v>
      </c>
      <c r="M12" s="67">
        <v>40</v>
      </c>
      <c r="N12" s="66"/>
      <c r="O12" s="23"/>
    </row>
    <row r="13" spans="1:22" s="7" customFormat="1">
      <c r="A13" s="24" t="s">
        <v>12</v>
      </c>
      <c r="B13" s="25">
        <f>36+155</f>
        <v>191</v>
      </c>
      <c r="C13" s="25">
        <v>20</v>
      </c>
      <c r="D13" s="26"/>
      <c r="E13" s="26"/>
      <c r="F13" s="26">
        <v>15</v>
      </c>
      <c r="G13" s="26">
        <f>143-7-2-11-1</f>
        <v>122</v>
      </c>
      <c r="H13" s="26">
        <f>28-8-6-14</f>
        <v>0</v>
      </c>
      <c r="I13" s="26">
        <f>27-7-3-5-2</f>
        <v>10</v>
      </c>
      <c r="J13" s="26"/>
      <c r="K13" s="27">
        <f>20+20-6-14-12</f>
        <v>8</v>
      </c>
      <c r="L13" s="26">
        <v>22</v>
      </c>
      <c r="M13" s="67">
        <v>30</v>
      </c>
      <c r="N13" s="66"/>
      <c r="O13" s="23"/>
    </row>
    <row r="14" spans="1:22" s="7" customFormat="1">
      <c r="A14" s="24" t="s">
        <v>102</v>
      </c>
      <c r="B14" s="25"/>
      <c r="C14" s="25">
        <v>30</v>
      </c>
      <c r="D14" s="26"/>
      <c r="E14" s="26"/>
      <c r="F14" s="26">
        <v>42</v>
      </c>
      <c r="G14" s="26">
        <f>424-12-13-16-16</f>
        <v>367</v>
      </c>
      <c r="H14" s="26">
        <f>50+20+10-5-5-5-5</f>
        <v>60</v>
      </c>
      <c r="I14" s="26">
        <f>102-4-10-5-7</f>
        <v>76</v>
      </c>
      <c r="J14" s="26"/>
      <c r="K14" s="27">
        <f>50-42</f>
        <v>8</v>
      </c>
      <c r="L14" s="26">
        <v>42</v>
      </c>
      <c r="M14" s="67"/>
      <c r="N14" s="66"/>
      <c r="O14" s="23"/>
    </row>
    <row r="15" spans="1:22" s="7" customFormat="1">
      <c r="A15" s="24" t="s">
        <v>15</v>
      </c>
      <c r="B15" s="25">
        <f>55+170</f>
        <v>225</v>
      </c>
      <c r="C15" s="25">
        <v>10</v>
      </c>
      <c r="D15" s="26"/>
      <c r="E15" s="26"/>
      <c r="F15" s="26">
        <v>14</v>
      </c>
      <c r="G15" s="26">
        <f>72-6-4-8-4</f>
        <v>50</v>
      </c>
      <c r="H15" s="26">
        <f>20+20-10-2-8</f>
        <v>20</v>
      </c>
      <c r="I15" s="26">
        <f>34-4-3-6-1</f>
        <v>20</v>
      </c>
      <c r="J15" s="26"/>
      <c r="K15" s="27">
        <f>20-10+20-10</f>
        <v>20</v>
      </c>
      <c r="L15" s="26">
        <v>4</v>
      </c>
      <c r="M15" s="67">
        <v>30</v>
      </c>
      <c r="N15" s="66"/>
      <c r="O15" s="23"/>
    </row>
    <row r="16" spans="1:22" s="7" customFormat="1">
      <c r="A16" s="24" t="s">
        <v>16</v>
      </c>
      <c r="B16" s="25">
        <f>270</f>
        <v>270</v>
      </c>
      <c r="C16" s="25"/>
      <c r="D16" s="26"/>
      <c r="E16" s="26"/>
      <c r="F16" s="26">
        <v>16</v>
      </c>
      <c r="G16" s="26">
        <f>75-5-4-3-3</f>
        <v>60</v>
      </c>
      <c r="H16" s="26">
        <f>30-10-10</f>
        <v>10</v>
      </c>
      <c r="I16" s="26">
        <f>8+50-8-5-3</f>
        <v>42</v>
      </c>
      <c r="J16" s="26"/>
      <c r="K16" s="27"/>
      <c r="L16" s="26"/>
      <c r="M16" s="67">
        <v>30</v>
      </c>
      <c r="N16" s="66"/>
      <c r="O16" s="23"/>
    </row>
    <row r="17" spans="1:17" s="7" customFormat="1">
      <c r="A17" s="24" t="s">
        <v>18</v>
      </c>
      <c r="B17" s="25">
        <f>98</f>
        <v>98</v>
      </c>
      <c r="C17" s="25"/>
      <c r="D17" s="26"/>
      <c r="E17" s="26"/>
      <c r="F17" s="26">
        <v>6</v>
      </c>
      <c r="G17" s="26">
        <f>89-8-3-3</f>
        <v>75</v>
      </c>
      <c r="H17" s="26">
        <f>10+10+20-10-10-3</f>
        <v>17</v>
      </c>
      <c r="I17" s="26">
        <f>14+28-1-4-2</f>
        <v>35</v>
      </c>
      <c r="J17" s="26"/>
      <c r="K17" s="27"/>
      <c r="L17" s="26">
        <v>10</v>
      </c>
      <c r="M17" s="67"/>
      <c r="N17" s="66"/>
      <c r="O17" s="23"/>
    </row>
    <row r="18" spans="1:17" s="7" customFormat="1">
      <c r="A18" s="24" t="s">
        <v>20</v>
      </c>
      <c r="B18" s="25">
        <f>40+170</f>
        <v>210</v>
      </c>
      <c r="C18" s="25"/>
      <c r="D18" s="26"/>
      <c r="E18" s="26"/>
      <c r="F18" s="26">
        <v>14</v>
      </c>
      <c r="G18" s="26">
        <f>40+20+131-40-4-1-1-1</f>
        <v>144</v>
      </c>
      <c r="H18" s="26">
        <f>16+20-6-10-1</f>
        <v>19</v>
      </c>
      <c r="I18" s="26">
        <f>15+27+17-15-1-1</f>
        <v>42</v>
      </c>
      <c r="J18" s="26"/>
      <c r="K18" s="27">
        <f>10+20+10-20-3</f>
        <v>17</v>
      </c>
      <c r="L18" s="26">
        <v>22</v>
      </c>
      <c r="M18" s="67">
        <v>38</v>
      </c>
      <c r="N18" s="66"/>
      <c r="O18" s="23"/>
    </row>
    <row r="19" spans="1:17" s="7" customFormat="1">
      <c r="A19" s="24" t="s">
        <v>21</v>
      </c>
      <c r="B19" s="25">
        <f>60+70</f>
        <v>130</v>
      </c>
      <c r="C19" s="25">
        <v>10</v>
      </c>
      <c r="D19" s="26"/>
      <c r="E19" s="69"/>
      <c r="F19" s="26">
        <v>15</v>
      </c>
      <c r="G19" s="26">
        <f>155-3-5-1</f>
        <v>146</v>
      </c>
      <c r="H19" s="26">
        <f>30+30-10-10</f>
        <v>40</v>
      </c>
      <c r="I19" s="26">
        <f>54-3-1-3</f>
        <v>47</v>
      </c>
      <c r="J19" s="26"/>
      <c r="K19" s="27">
        <f>10+10+20-1-10-9</f>
        <v>20</v>
      </c>
      <c r="L19" s="26">
        <v>2</v>
      </c>
      <c r="M19" s="67">
        <v>17</v>
      </c>
      <c r="N19" s="66"/>
      <c r="O19" s="23"/>
    </row>
    <row r="20" spans="1:17" s="7" customFormat="1">
      <c r="A20" s="24" t="s">
        <v>22</v>
      </c>
      <c r="B20" s="25"/>
      <c r="C20" s="25">
        <v>10</v>
      </c>
      <c r="D20" s="26"/>
      <c r="E20" s="26"/>
      <c r="F20" s="26">
        <v>17</v>
      </c>
      <c r="G20" s="26">
        <f>94-1-1-10</f>
        <v>82</v>
      </c>
      <c r="H20" s="26">
        <f>17+20-7-4-6</f>
        <v>20</v>
      </c>
      <c r="I20" s="26">
        <f>42-4-3-9-1</f>
        <v>25</v>
      </c>
      <c r="J20" s="26"/>
      <c r="K20" s="27">
        <f>12+27-9+10-16-11</f>
        <v>13</v>
      </c>
      <c r="L20" s="26">
        <v>18</v>
      </c>
      <c r="M20" s="67">
        <v>10</v>
      </c>
      <c r="N20" s="66"/>
      <c r="O20" s="23"/>
    </row>
    <row r="21" spans="1:17" s="7" customFormat="1">
      <c r="A21" s="24" t="s">
        <v>23</v>
      </c>
      <c r="B21" s="25">
        <f>70</f>
        <v>70</v>
      </c>
      <c r="C21" s="25"/>
      <c r="D21" s="26"/>
      <c r="E21" s="69"/>
      <c r="F21" s="26">
        <v>11</v>
      </c>
      <c r="G21" s="26">
        <f>9+13+175-6-3-13-11-4</f>
        <v>160</v>
      </c>
      <c r="H21" s="26">
        <f>20-10-4</f>
        <v>6</v>
      </c>
      <c r="I21" s="26">
        <f>41-6-23-2</f>
        <v>10</v>
      </c>
      <c r="J21" s="26"/>
      <c r="K21" s="27">
        <f>20+20-2-20-8</f>
        <v>10</v>
      </c>
      <c r="L21" s="26">
        <v>22</v>
      </c>
      <c r="M21" s="67">
        <v>10</v>
      </c>
      <c r="N21" s="66"/>
      <c r="O21" s="23"/>
    </row>
    <row r="22" spans="1:17" s="7" customFormat="1">
      <c r="A22" s="24" t="s">
        <v>24</v>
      </c>
      <c r="B22" s="25">
        <v>80</v>
      </c>
      <c r="C22" s="25"/>
      <c r="D22" s="26"/>
      <c r="E22" s="26"/>
      <c r="F22" s="26">
        <v>11</v>
      </c>
      <c r="G22" s="26">
        <f>66-5-20-1-3</f>
        <v>37</v>
      </c>
      <c r="H22" s="26">
        <f>20+10-10-10</f>
        <v>10</v>
      </c>
      <c r="I22" s="26">
        <f>22-2-2</f>
        <v>18</v>
      </c>
      <c r="J22" s="26"/>
      <c r="K22" s="27">
        <f>10+10-10+10-10</f>
        <v>10</v>
      </c>
      <c r="L22" s="26">
        <v>18</v>
      </c>
      <c r="M22" s="67">
        <v>20</v>
      </c>
      <c r="N22" s="66"/>
      <c r="O22" s="23"/>
    </row>
    <row r="23" spans="1:17" s="7" customFormat="1">
      <c r="A23" s="24" t="s">
        <v>104</v>
      </c>
      <c r="B23" s="25">
        <v>77</v>
      </c>
      <c r="C23" s="25">
        <v>37</v>
      </c>
      <c r="D23" s="26"/>
      <c r="E23" s="26"/>
      <c r="F23" s="26">
        <v>35</v>
      </c>
      <c r="G23" s="26">
        <f>350-24-35-29-22</f>
        <v>240</v>
      </c>
      <c r="H23" s="26">
        <f>45+30+40-8-17-11-9</f>
        <v>70</v>
      </c>
      <c r="I23" s="26">
        <f>99-5-11-14-7</f>
        <v>62</v>
      </c>
      <c r="J23" s="26"/>
      <c r="K23" s="27">
        <f>10+60-36+40-10-24-24</f>
        <v>16</v>
      </c>
      <c r="L23" s="26">
        <f>780+554+30</f>
        <v>1364</v>
      </c>
      <c r="M23" s="67">
        <v>45</v>
      </c>
      <c r="N23" s="66"/>
      <c r="O23" s="23"/>
      <c r="Q23" s="7" t="s">
        <v>105</v>
      </c>
    </row>
    <row r="24" spans="1:17" s="7" customFormat="1">
      <c r="A24" s="24" t="s">
        <v>25</v>
      </c>
      <c r="B24" s="25">
        <f>100+110</f>
        <v>210</v>
      </c>
      <c r="C24" s="25"/>
      <c r="D24" s="26"/>
      <c r="E24" s="26"/>
      <c r="F24" s="26"/>
      <c r="G24" s="26">
        <f>6+3+35-6-3</f>
        <v>35</v>
      </c>
      <c r="H24" s="26">
        <f>10+10</f>
        <v>20</v>
      </c>
      <c r="I24" s="26">
        <f>4+6</f>
        <v>10</v>
      </c>
      <c r="J24" s="26"/>
      <c r="K24" s="26">
        <f>10+10-10</f>
        <v>10</v>
      </c>
      <c r="L24" s="26">
        <v>4</v>
      </c>
      <c r="M24" s="67">
        <v>10</v>
      </c>
      <c r="N24" s="66"/>
      <c r="O24" s="23"/>
    </row>
    <row r="25" spans="1:17" s="7" customFormat="1" ht="15.75" thickBot="1">
      <c r="A25" s="29" t="s">
        <v>28</v>
      </c>
      <c r="B25" s="30">
        <f>160+50</f>
        <v>210</v>
      </c>
      <c r="C25" s="30">
        <v>10</v>
      </c>
      <c r="D25" s="31"/>
      <c r="E25" s="31"/>
      <c r="F25" s="31">
        <v>13</v>
      </c>
      <c r="G25" s="31">
        <f>90-1-2-11</f>
        <v>76</v>
      </c>
      <c r="H25" s="31">
        <f>20+14-4-2-2</f>
        <v>26</v>
      </c>
      <c r="I25" s="31">
        <f>26-1</f>
        <v>25</v>
      </c>
      <c r="J25" s="31">
        <f>11-1-1</f>
        <v>9</v>
      </c>
      <c r="K25" s="32">
        <f>10+20-5-20+20-5</f>
        <v>20</v>
      </c>
      <c r="L25" s="33"/>
      <c r="M25" s="33">
        <v>5</v>
      </c>
      <c r="N25" s="64"/>
      <c r="O25" s="40"/>
    </row>
    <row r="26" spans="1:17" s="7" customFormat="1" ht="15.75" thickBot="1">
      <c r="A26" s="4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3"/>
      <c r="M26" s="33"/>
      <c r="N26" s="64"/>
      <c r="O26" s="23"/>
    </row>
    <row r="27" spans="1:17" ht="15.75" thickBot="1"/>
    <row r="28" spans="1:17" s="7" customFormat="1" ht="15.75" thickBot="1">
      <c r="B28" s="39">
        <f>SUM(B5:B25)</f>
        <v>2801</v>
      </c>
      <c r="C28" s="70">
        <f>SUM(C5:C25)</f>
        <v>171</v>
      </c>
      <c r="D28" s="39">
        <f t="shared" ref="D28:K28" si="0">SUM(D5:D25)</f>
        <v>0</v>
      </c>
      <c r="E28" s="39">
        <f t="shared" si="0"/>
        <v>0</v>
      </c>
      <c r="F28" s="39">
        <f t="shared" si="0"/>
        <v>301</v>
      </c>
      <c r="G28" s="39">
        <f t="shared" si="0"/>
        <v>2431</v>
      </c>
      <c r="H28" s="39">
        <f t="shared" si="0"/>
        <v>602</v>
      </c>
      <c r="I28" s="39">
        <f t="shared" si="0"/>
        <v>715</v>
      </c>
      <c r="J28" s="39">
        <f t="shared" si="0"/>
        <v>19</v>
      </c>
      <c r="K28" s="39">
        <f t="shared" si="0"/>
        <v>223</v>
      </c>
      <c r="L28" s="39">
        <f>SUM(L5:L25)</f>
        <v>1598</v>
      </c>
      <c r="M28" s="39">
        <f>SUM(M5:M25)</f>
        <v>398</v>
      </c>
      <c r="N28" s="42"/>
      <c r="O28" s="17"/>
      <c r="P28" s="42">
        <f>SUM(B28:O28)</f>
        <v>9259</v>
      </c>
    </row>
  </sheetData>
  <mergeCells count="1">
    <mergeCell ref="B1:M1"/>
  </mergeCells>
  <pageMargins left="0.70866141732283472" right="2.08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7"/>
  <sheetViews>
    <sheetView tabSelected="1" workbookViewId="0">
      <pane xSplit="1" topLeftCell="K1" activePane="topRight" state="frozen"/>
      <selection activeCell="A3" sqref="A3"/>
      <selection pane="topRight" activeCell="BD1" sqref="BD1:BD1048576"/>
    </sheetView>
  </sheetViews>
  <sheetFormatPr defaultRowHeight="15"/>
  <cols>
    <col min="1" max="1" width="10" style="7" customWidth="1"/>
    <col min="2" max="2" width="5.140625" style="7" customWidth="1"/>
    <col min="3" max="3" width="4.42578125" style="7" customWidth="1"/>
    <col min="4" max="4" width="5.140625" style="7" customWidth="1"/>
    <col min="5" max="5" width="4.85546875" style="7" customWidth="1"/>
    <col min="6" max="6" width="5.5703125" style="7" customWidth="1"/>
    <col min="7" max="7" width="5.42578125" style="7" customWidth="1"/>
    <col min="8" max="8" width="5" style="7" customWidth="1"/>
    <col min="9" max="9" width="5.7109375" style="7" customWidth="1"/>
    <col min="10" max="10" width="5.5703125" style="7" customWidth="1"/>
    <col min="11" max="11" width="5" style="7" customWidth="1"/>
    <col min="12" max="12" width="5.7109375" style="7" customWidth="1"/>
    <col min="13" max="13" width="4.85546875" style="7" customWidth="1"/>
    <col min="14" max="14" width="5.28515625" style="7" customWidth="1"/>
    <col min="15" max="15" width="5" style="7" customWidth="1"/>
    <col min="16" max="16" width="6.42578125" style="7" customWidth="1"/>
    <col min="17" max="17" width="5.42578125" style="7" customWidth="1"/>
    <col min="18" max="19" width="5" style="7" customWidth="1"/>
    <col min="20" max="20" width="4.85546875" style="7" customWidth="1"/>
    <col min="21" max="21" width="5.42578125" style="7" customWidth="1"/>
    <col min="22" max="22" width="5.140625" style="7" customWidth="1"/>
    <col min="23" max="23" width="5.42578125" style="7" customWidth="1"/>
    <col min="24" max="24" width="5.5703125" style="7" customWidth="1"/>
    <col min="25" max="25" width="5" style="7" customWidth="1"/>
    <col min="26" max="26" width="5.7109375" style="7" customWidth="1"/>
    <col min="27" max="27" width="5.28515625" style="7" customWidth="1"/>
    <col min="28" max="28" width="5" style="7" customWidth="1"/>
    <col min="29" max="29" width="4.140625" style="7" customWidth="1"/>
    <col min="30" max="30" width="5.28515625" style="7" customWidth="1"/>
    <col min="31" max="31" width="6" style="7" customWidth="1"/>
    <col min="32" max="32" width="5.28515625" style="7" customWidth="1"/>
    <col min="33" max="33" width="5.7109375" style="7" customWidth="1"/>
    <col min="34" max="34" width="6" style="7" customWidth="1"/>
    <col min="35" max="35" width="6.140625" style="7" customWidth="1"/>
    <col min="36" max="36" width="6" style="7" customWidth="1"/>
    <col min="37" max="37" width="5.140625" style="7" customWidth="1"/>
    <col min="38" max="38" width="5.28515625" style="7" customWidth="1"/>
    <col min="39" max="39" width="5.140625" style="7" customWidth="1"/>
    <col min="40" max="40" width="5" style="7" customWidth="1"/>
    <col min="41" max="41" width="5.28515625" style="7" customWidth="1"/>
    <col min="42" max="42" width="6.42578125" style="7" customWidth="1"/>
    <col min="43" max="43" width="5.7109375" style="7" customWidth="1"/>
    <col min="44" max="45" width="5.42578125" style="7" customWidth="1"/>
    <col min="46" max="47" width="5.7109375" style="7" customWidth="1"/>
    <col min="48" max="48" width="5.140625" style="7" customWidth="1"/>
    <col min="49" max="49" width="5.85546875" style="7" customWidth="1"/>
    <col min="50" max="50" width="5.42578125" style="7" customWidth="1"/>
    <col min="51" max="51" width="5.7109375" style="7" customWidth="1"/>
    <col min="52" max="52" width="5.42578125" style="7" customWidth="1"/>
    <col min="53" max="53" width="5" style="7" customWidth="1"/>
    <col min="54" max="54" width="5.5703125" style="7" customWidth="1"/>
    <col min="55" max="55" width="5.7109375" style="7" customWidth="1"/>
    <col min="56" max="56" width="5.42578125" style="7" customWidth="1"/>
    <col min="57" max="57" width="6.140625" style="7" customWidth="1"/>
  </cols>
  <sheetData>
    <row r="1" spans="1:57">
      <c r="M1" s="72" t="s">
        <v>112</v>
      </c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57" ht="15.75" thickBot="1"/>
    <row r="3" spans="1:57" ht="44.25" customHeight="1" thickBot="1">
      <c r="A3" s="43" t="s">
        <v>46</v>
      </c>
      <c r="B3" s="44" t="s">
        <v>29</v>
      </c>
      <c r="C3" s="45" t="s">
        <v>66</v>
      </c>
      <c r="D3" s="37" t="s">
        <v>30</v>
      </c>
      <c r="E3" s="37" t="s">
        <v>77</v>
      </c>
      <c r="F3" s="37" t="s">
        <v>78</v>
      </c>
      <c r="G3" s="37" t="s">
        <v>75</v>
      </c>
      <c r="H3" s="37" t="s">
        <v>72</v>
      </c>
      <c r="I3" s="37" t="s">
        <v>31</v>
      </c>
      <c r="J3" s="37" t="s">
        <v>87</v>
      </c>
      <c r="K3" s="37" t="s">
        <v>88</v>
      </c>
      <c r="L3" s="37" t="s">
        <v>67</v>
      </c>
      <c r="M3" s="37" t="s">
        <v>82</v>
      </c>
      <c r="N3" s="37" t="s">
        <v>32</v>
      </c>
      <c r="O3" s="37" t="s">
        <v>32</v>
      </c>
      <c r="P3" s="37" t="s">
        <v>33</v>
      </c>
      <c r="Q3" s="37" t="s">
        <v>34</v>
      </c>
      <c r="R3" s="37" t="s">
        <v>52</v>
      </c>
      <c r="S3" s="37" t="s">
        <v>83</v>
      </c>
      <c r="T3" s="37" t="s">
        <v>60</v>
      </c>
      <c r="U3" s="37" t="s">
        <v>65</v>
      </c>
      <c r="V3" s="37" t="s">
        <v>89</v>
      </c>
      <c r="W3" s="37" t="s">
        <v>53</v>
      </c>
      <c r="X3" s="37" t="s">
        <v>70</v>
      </c>
      <c r="Y3" s="37" t="s">
        <v>74</v>
      </c>
      <c r="Z3" s="37" t="s">
        <v>84</v>
      </c>
      <c r="AA3" s="37" t="s">
        <v>35</v>
      </c>
      <c r="AB3" s="37" t="s">
        <v>73</v>
      </c>
      <c r="AC3" s="37" t="s">
        <v>68</v>
      </c>
      <c r="AD3" s="37" t="s">
        <v>100</v>
      </c>
      <c r="AE3" s="37" t="s">
        <v>36</v>
      </c>
      <c r="AF3" s="37" t="s">
        <v>61</v>
      </c>
      <c r="AG3" s="37" t="s">
        <v>69</v>
      </c>
      <c r="AH3" s="37" t="s">
        <v>37</v>
      </c>
      <c r="AI3" s="37" t="s">
        <v>37</v>
      </c>
      <c r="AJ3" s="37" t="s">
        <v>38</v>
      </c>
      <c r="AK3" s="37" t="s">
        <v>76</v>
      </c>
      <c r="AL3" s="37" t="s">
        <v>40</v>
      </c>
      <c r="AM3" s="37" t="s">
        <v>62</v>
      </c>
      <c r="AN3" s="37" t="s">
        <v>64</v>
      </c>
      <c r="AO3" s="37" t="s">
        <v>71</v>
      </c>
      <c r="AP3" s="37" t="s">
        <v>54</v>
      </c>
      <c r="AQ3" s="37" t="s">
        <v>79</v>
      </c>
      <c r="AR3" s="37" t="s">
        <v>39</v>
      </c>
      <c r="AS3" s="37" t="s">
        <v>41</v>
      </c>
      <c r="AT3" s="37" t="s">
        <v>42</v>
      </c>
      <c r="AU3" s="37" t="s">
        <v>43</v>
      </c>
      <c r="AV3" s="37" t="s">
        <v>55</v>
      </c>
      <c r="AW3" s="37" t="s">
        <v>56</v>
      </c>
      <c r="AX3" s="37" t="s">
        <v>80</v>
      </c>
      <c r="AY3" s="37" t="s">
        <v>44</v>
      </c>
      <c r="AZ3" s="49" t="s">
        <v>45</v>
      </c>
      <c r="BA3" s="49" t="s">
        <v>81</v>
      </c>
      <c r="BB3" s="49" t="s">
        <v>86</v>
      </c>
      <c r="BC3" s="37" t="s">
        <v>57</v>
      </c>
      <c r="BD3" s="37" t="s">
        <v>58</v>
      </c>
      <c r="BE3" s="50" t="s">
        <v>59</v>
      </c>
    </row>
    <row r="4" spans="1:57" ht="16.5" customHeight="1" thickBot="1">
      <c r="A4" s="46" t="s">
        <v>3</v>
      </c>
      <c r="B4" s="47" t="s">
        <v>47</v>
      </c>
      <c r="C4" s="48" t="s">
        <v>63</v>
      </c>
      <c r="D4" s="38" t="s">
        <v>47</v>
      </c>
      <c r="E4" s="38" t="s">
        <v>47</v>
      </c>
      <c r="F4" s="38" t="s">
        <v>49</v>
      </c>
      <c r="G4" s="38" t="s">
        <v>47</v>
      </c>
      <c r="H4" s="38" t="s">
        <v>63</v>
      </c>
      <c r="I4" s="38" t="s">
        <v>48</v>
      </c>
      <c r="J4" s="38" t="s">
        <v>63</v>
      </c>
      <c r="K4" s="38" t="s">
        <v>49</v>
      </c>
      <c r="L4" s="38" t="s">
        <v>47</v>
      </c>
      <c r="M4" s="38" t="s">
        <v>63</v>
      </c>
      <c r="N4" s="38" t="s">
        <v>49</v>
      </c>
      <c r="O4" s="38" t="s">
        <v>47</v>
      </c>
      <c r="P4" s="38" t="s">
        <v>47</v>
      </c>
      <c r="Q4" s="38" t="s">
        <v>47</v>
      </c>
      <c r="R4" s="38" t="s">
        <v>47</v>
      </c>
      <c r="S4" s="38" t="s">
        <v>47</v>
      </c>
      <c r="T4" s="38" t="s">
        <v>47</v>
      </c>
      <c r="U4" s="38" t="s">
        <v>47</v>
      </c>
      <c r="V4" s="38" t="s">
        <v>63</v>
      </c>
      <c r="W4" s="38" t="s">
        <v>50</v>
      </c>
      <c r="X4" s="38" t="s">
        <v>63</v>
      </c>
      <c r="Y4" s="38" t="s">
        <v>49</v>
      </c>
      <c r="Z4" s="38" t="s">
        <v>85</v>
      </c>
      <c r="AA4" s="38" t="s">
        <v>47</v>
      </c>
      <c r="AB4" s="38" t="s">
        <v>47</v>
      </c>
      <c r="AC4" s="38" t="s">
        <v>47</v>
      </c>
      <c r="AD4" s="38" t="s">
        <v>47</v>
      </c>
      <c r="AE4" s="38" t="s">
        <v>47</v>
      </c>
      <c r="AF4" s="38" t="s">
        <v>47</v>
      </c>
      <c r="AG4" s="38" t="s">
        <v>47</v>
      </c>
      <c r="AH4" s="38" t="s">
        <v>47</v>
      </c>
      <c r="AI4" s="38" t="s">
        <v>49</v>
      </c>
      <c r="AJ4" s="38" t="s">
        <v>63</v>
      </c>
      <c r="AK4" s="38" t="s">
        <v>47</v>
      </c>
      <c r="AL4" s="38" t="s">
        <v>47</v>
      </c>
      <c r="AM4" s="38" t="s">
        <v>63</v>
      </c>
      <c r="AN4" s="38" t="s">
        <v>47</v>
      </c>
      <c r="AO4" s="38" t="s">
        <v>47</v>
      </c>
      <c r="AP4" s="38" t="s">
        <v>63</v>
      </c>
      <c r="AQ4" s="38" t="s">
        <v>47</v>
      </c>
      <c r="AR4" s="38" t="s">
        <v>47</v>
      </c>
      <c r="AS4" s="38" t="s">
        <v>47</v>
      </c>
      <c r="AT4" s="38" t="s">
        <v>51</v>
      </c>
      <c r="AU4" s="38" t="s">
        <v>49</v>
      </c>
      <c r="AV4" s="38" t="s">
        <v>50</v>
      </c>
      <c r="AW4" s="38" t="s">
        <v>49</v>
      </c>
      <c r="AX4" s="38" t="s">
        <v>49</v>
      </c>
      <c r="AY4" s="38" t="s">
        <v>47</v>
      </c>
      <c r="AZ4" s="51" t="s">
        <v>47</v>
      </c>
      <c r="BA4" s="51" t="s">
        <v>47</v>
      </c>
      <c r="BB4" s="51" t="s">
        <v>47</v>
      </c>
      <c r="BC4" s="38" t="s">
        <v>49</v>
      </c>
      <c r="BD4" s="38" t="s">
        <v>47</v>
      </c>
      <c r="BE4" s="52" t="s">
        <v>49</v>
      </c>
    </row>
    <row r="5" spans="1:57" s="7" customFormat="1">
      <c r="A5" s="4" t="s">
        <v>0</v>
      </c>
      <c r="B5" s="5">
        <f>10-2-2-2-2</f>
        <v>2</v>
      </c>
      <c r="C5" s="6"/>
      <c r="D5" s="6">
        <f>45+40-5-10-5-13-2-2</f>
        <v>48</v>
      </c>
      <c r="E5" s="6"/>
      <c r="F5" s="6">
        <f>4-1-1</f>
        <v>2</v>
      </c>
      <c r="G5" s="6"/>
      <c r="H5" s="6">
        <f>20-10-2-3</f>
        <v>5</v>
      </c>
      <c r="I5" s="6">
        <v>3</v>
      </c>
      <c r="J5" s="6">
        <v>10</v>
      </c>
      <c r="K5" s="6"/>
      <c r="L5" s="6">
        <v>10</v>
      </c>
      <c r="M5" s="6"/>
      <c r="N5" s="6">
        <v>4</v>
      </c>
      <c r="O5" s="6"/>
      <c r="P5" s="6">
        <f>40-3-5-2-3-3-1</f>
        <v>23</v>
      </c>
      <c r="Q5" s="6">
        <f>56-5-11-5-4-2-2</f>
        <v>27</v>
      </c>
      <c r="R5" s="6"/>
      <c r="S5" s="6">
        <v>2</v>
      </c>
      <c r="T5" s="6">
        <f>40-1-5-6-5</f>
        <v>23</v>
      </c>
      <c r="U5" s="6"/>
      <c r="V5" s="6"/>
      <c r="W5" s="6">
        <v>3</v>
      </c>
      <c r="X5" s="6">
        <f>20-1</f>
        <v>19</v>
      </c>
      <c r="Y5" s="6">
        <v>2</v>
      </c>
      <c r="Z5" s="6"/>
      <c r="AA5" s="6">
        <v>10</v>
      </c>
      <c r="AB5" s="6">
        <f>22-1-1-1-1-1</f>
        <v>17</v>
      </c>
      <c r="AC5" s="6">
        <f>10-2-1</f>
        <v>7</v>
      </c>
      <c r="AD5" s="6"/>
      <c r="AE5" s="6">
        <f>40-10-5-5-5-5-5</f>
        <v>5</v>
      </c>
      <c r="AF5" s="6"/>
      <c r="AG5" s="6">
        <f>10-1-1-1-1-1</f>
        <v>5</v>
      </c>
      <c r="AH5" s="6">
        <f>40-5-2-10-10-4-5</f>
        <v>4</v>
      </c>
      <c r="AI5" s="6">
        <f>3-1</f>
        <v>2</v>
      </c>
      <c r="AJ5" s="6">
        <v>33</v>
      </c>
      <c r="AK5" s="6"/>
      <c r="AL5" s="6">
        <f>100-2-1</f>
        <v>97</v>
      </c>
      <c r="AM5" s="6"/>
      <c r="AN5" s="6"/>
      <c r="AO5" s="6">
        <v>28</v>
      </c>
      <c r="AP5" s="6">
        <f>20+10-10-10</f>
        <v>10</v>
      </c>
      <c r="AQ5" s="6">
        <v>8</v>
      </c>
      <c r="AR5" s="6">
        <v>35</v>
      </c>
      <c r="AS5" s="6">
        <v>10</v>
      </c>
      <c r="AT5" s="6"/>
      <c r="AU5" s="6"/>
      <c r="AV5" s="6"/>
      <c r="AW5" s="6"/>
      <c r="AX5" s="6"/>
      <c r="AY5" s="6">
        <f>10-2-2-1-1-3</f>
        <v>1</v>
      </c>
      <c r="AZ5" s="6"/>
      <c r="BA5" s="6"/>
      <c r="BB5" s="6"/>
      <c r="BC5" s="6"/>
      <c r="BD5" s="6">
        <v>30</v>
      </c>
      <c r="BE5" s="62"/>
    </row>
    <row r="6" spans="1:57" s="7" customFormat="1">
      <c r="A6" s="8" t="s">
        <v>1</v>
      </c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>2-1</f>
        <v>1</v>
      </c>
      <c r="AJ6" s="3">
        <f>20-10</f>
        <v>10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>
        <v>8</v>
      </c>
      <c r="AZ6" s="3"/>
      <c r="BA6" s="3"/>
      <c r="BB6" s="3"/>
      <c r="BC6" s="3"/>
      <c r="BD6" s="3"/>
      <c r="BE6" s="35"/>
    </row>
    <row r="7" spans="1:57" s="7" customFormat="1" ht="15.75" customHeight="1">
      <c r="A7" s="8" t="s">
        <v>2</v>
      </c>
      <c r="B7" s="9">
        <f>10-5</f>
        <v>5</v>
      </c>
      <c r="C7" s="3"/>
      <c r="D7" s="3">
        <f>8+20+50-4-10-2-3</f>
        <v>59</v>
      </c>
      <c r="E7" s="3"/>
      <c r="F7" s="3">
        <f>5-1</f>
        <v>4</v>
      </c>
      <c r="G7" s="3"/>
      <c r="H7" s="3">
        <f>40-10-4-2</f>
        <v>24</v>
      </c>
      <c r="I7" s="3">
        <v>2</v>
      </c>
      <c r="J7" s="3">
        <f>20-10</f>
        <v>10</v>
      </c>
      <c r="K7" s="3"/>
      <c r="L7" s="3">
        <v>20</v>
      </c>
      <c r="M7" s="3"/>
      <c r="N7" s="3">
        <f>6-1-1</f>
        <v>4</v>
      </c>
      <c r="O7" s="3">
        <f>10</f>
        <v>10</v>
      </c>
      <c r="P7" s="3">
        <f>60-1-1-3</f>
        <v>55</v>
      </c>
      <c r="Q7" s="3">
        <f>50-4-2-2-3</f>
        <v>39</v>
      </c>
      <c r="R7" s="3"/>
      <c r="S7" s="3"/>
      <c r="T7" s="3">
        <f>60-10</f>
        <v>50</v>
      </c>
      <c r="U7" s="3"/>
      <c r="V7" s="3">
        <v>10</v>
      </c>
      <c r="W7" s="3"/>
      <c r="X7" s="3">
        <v>14</v>
      </c>
      <c r="Y7" s="3">
        <v>4</v>
      </c>
      <c r="Z7" s="3"/>
      <c r="AA7" s="3">
        <f>20-5</f>
        <v>15</v>
      </c>
      <c r="AB7" s="3">
        <f>20-1-5</f>
        <v>14</v>
      </c>
      <c r="AC7" s="3">
        <f>20-5</f>
        <v>15</v>
      </c>
      <c r="AD7" s="3"/>
      <c r="AE7" s="3">
        <f>67-3-2-3-3-10-4-8</f>
        <v>34</v>
      </c>
      <c r="AF7" s="3"/>
      <c r="AG7" s="61"/>
      <c r="AH7" s="3">
        <v>27</v>
      </c>
      <c r="AI7" s="3">
        <f>4+4+2-2-1-1</f>
        <v>6</v>
      </c>
      <c r="AJ7" s="3">
        <v>67</v>
      </c>
      <c r="AK7" s="3"/>
      <c r="AL7" s="3">
        <f>7-1+150</f>
        <v>156</v>
      </c>
      <c r="AM7" s="3"/>
      <c r="AN7" s="3"/>
      <c r="AO7" s="3">
        <v>46</v>
      </c>
      <c r="AP7" s="3">
        <f>20+20-10-10</f>
        <v>20</v>
      </c>
      <c r="AQ7" s="3"/>
      <c r="AR7" s="3">
        <f>10+60-10</f>
        <v>60</v>
      </c>
      <c r="AS7" s="3">
        <f>2+15-2-5</f>
        <v>10</v>
      </c>
      <c r="AT7" s="3"/>
      <c r="AU7" s="3"/>
      <c r="AV7" s="3"/>
      <c r="AW7" s="3"/>
      <c r="AX7" s="3">
        <v>2</v>
      </c>
      <c r="AY7" s="3">
        <f>10+20-5</f>
        <v>25</v>
      </c>
      <c r="AZ7" s="3">
        <v>5</v>
      </c>
      <c r="BA7" s="3"/>
      <c r="BB7" s="3"/>
      <c r="BC7" s="3"/>
      <c r="BD7" s="3">
        <v>45</v>
      </c>
      <c r="BE7" s="35"/>
    </row>
    <row r="8" spans="1:57" s="7" customFormat="1">
      <c r="A8" s="8" t="s">
        <v>4</v>
      </c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16</v>
      </c>
      <c r="Q8" s="3"/>
      <c r="R8" s="3"/>
      <c r="S8" s="3"/>
      <c r="T8" s="3">
        <v>7</v>
      </c>
      <c r="U8" s="3"/>
      <c r="V8" s="3"/>
      <c r="W8" s="3"/>
      <c r="X8" s="3"/>
      <c r="Y8" s="3">
        <v>1</v>
      </c>
      <c r="Z8" s="3"/>
      <c r="AA8" s="3"/>
      <c r="AB8" s="3"/>
      <c r="AC8" s="3"/>
      <c r="AD8" s="3"/>
      <c r="AE8" s="3">
        <f>50+20</f>
        <v>70</v>
      </c>
      <c r="AF8" s="3"/>
      <c r="AG8" s="3">
        <v>8</v>
      </c>
      <c r="AH8" s="3">
        <v>22</v>
      </c>
      <c r="AI8" s="3">
        <f>3+5+2+1+2</f>
        <v>13</v>
      </c>
      <c r="AJ8" s="3">
        <v>20</v>
      </c>
      <c r="AK8" s="3"/>
      <c r="AL8" s="3">
        <v>4</v>
      </c>
      <c r="AM8" s="3"/>
      <c r="AN8" s="3"/>
      <c r="AO8" s="3"/>
      <c r="AP8" s="3">
        <v>10</v>
      </c>
      <c r="AQ8" s="3"/>
      <c r="AR8" s="3"/>
      <c r="AS8" s="3"/>
      <c r="AT8" s="3"/>
      <c r="AU8" s="3"/>
      <c r="AV8" s="3"/>
      <c r="AW8" s="3">
        <v>1</v>
      </c>
      <c r="AX8" s="3"/>
      <c r="AY8" s="3"/>
      <c r="AZ8" s="3"/>
      <c r="BA8" s="3"/>
      <c r="BB8" s="3"/>
      <c r="BC8" s="3"/>
      <c r="BD8" s="3">
        <v>18</v>
      </c>
      <c r="BE8" s="35">
        <v>2</v>
      </c>
    </row>
    <row r="9" spans="1:57" s="7" customFormat="1">
      <c r="A9" s="8" t="s">
        <v>5</v>
      </c>
      <c r="B9" s="9">
        <f>10-2-1-2</f>
        <v>5</v>
      </c>
      <c r="C9" s="3"/>
      <c r="D9" s="3">
        <f>12+50-2-2-2-6-5</f>
        <v>45</v>
      </c>
      <c r="E9" s="3"/>
      <c r="F9" s="3">
        <f>5-1</f>
        <v>4</v>
      </c>
      <c r="G9" s="3"/>
      <c r="H9" s="3">
        <f>40-5-5-5-5</f>
        <v>20</v>
      </c>
      <c r="I9" s="3">
        <v>4</v>
      </c>
      <c r="J9" s="3">
        <f>20-5-5</f>
        <v>10</v>
      </c>
      <c r="K9" s="3"/>
      <c r="L9" s="3">
        <v>20</v>
      </c>
      <c r="M9" s="3"/>
      <c r="N9" s="3">
        <f>5-1</f>
        <v>4</v>
      </c>
      <c r="O9" s="3">
        <f>10</f>
        <v>10</v>
      </c>
      <c r="P9" s="3">
        <f>55-5-5-5-5</f>
        <v>35</v>
      </c>
      <c r="Q9" s="3">
        <f>52-2-5-5-5</f>
        <v>35</v>
      </c>
      <c r="R9" s="3"/>
      <c r="S9" s="3"/>
      <c r="T9" s="3">
        <f>50-5-5-5-5-5-5</f>
        <v>20</v>
      </c>
      <c r="U9" s="3"/>
      <c r="V9" s="3">
        <f>25-5</f>
        <v>20</v>
      </c>
      <c r="W9" s="3"/>
      <c r="X9" s="3">
        <v>5</v>
      </c>
      <c r="Y9" s="3">
        <f>5-1</f>
        <v>4</v>
      </c>
      <c r="Z9" s="3"/>
      <c r="AA9" s="3">
        <v>5</v>
      </c>
      <c r="AB9" s="3">
        <v>20</v>
      </c>
      <c r="AC9" s="3">
        <v>20</v>
      </c>
      <c r="AD9" s="3"/>
      <c r="AE9" s="3">
        <f>50-5-5-5-5</f>
        <v>30</v>
      </c>
      <c r="AF9" s="3"/>
      <c r="AG9" s="3">
        <v>15</v>
      </c>
      <c r="AH9" s="3">
        <v>20</v>
      </c>
      <c r="AI9" s="3">
        <v>3</v>
      </c>
      <c r="AJ9" s="3">
        <v>50</v>
      </c>
      <c r="AK9" s="3"/>
      <c r="AL9" s="3">
        <f>180</f>
        <v>180</v>
      </c>
      <c r="AM9" s="3"/>
      <c r="AN9" s="3"/>
      <c r="AO9" s="3">
        <v>40</v>
      </c>
      <c r="AP9" s="3">
        <f>20+20-5-5-5-10</f>
        <v>15</v>
      </c>
      <c r="AQ9" s="3"/>
      <c r="AR9" s="3">
        <v>40</v>
      </c>
      <c r="AS9" s="3">
        <f>3+15</f>
        <v>18</v>
      </c>
      <c r="AT9" s="3"/>
      <c r="AU9" s="3"/>
      <c r="AV9" s="3"/>
      <c r="AW9" s="3"/>
      <c r="AX9" s="3"/>
      <c r="AY9" s="3">
        <f>20-3-2-3</f>
        <v>12</v>
      </c>
      <c r="AZ9" s="3"/>
      <c r="BA9" s="3"/>
      <c r="BB9" s="3"/>
      <c r="BC9" s="3">
        <v>1</v>
      </c>
      <c r="BD9" s="3">
        <v>35</v>
      </c>
      <c r="BE9" s="35"/>
    </row>
    <row r="10" spans="1:57" s="7" customFormat="1">
      <c r="A10" s="11" t="s">
        <v>6</v>
      </c>
      <c r="B10" s="9">
        <f>10+10</f>
        <v>20</v>
      </c>
      <c r="C10" s="3"/>
      <c r="D10" s="3">
        <f>33+40-2-4-2-4-6</f>
        <v>55</v>
      </c>
      <c r="E10" s="3"/>
      <c r="F10" s="3"/>
      <c r="G10" s="3"/>
      <c r="H10" s="3">
        <v>20</v>
      </c>
      <c r="I10" s="3">
        <v>3</v>
      </c>
      <c r="J10" s="3">
        <v>10</v>
      </c>
      <c r="K10" s="3"/>
      <c r="L10" s="3">
        <v>10</v>
      </c>
      <c r="M10" s="3"/>
      <c r="N10" s="3">
        <f>12-1</f>
        <v>11</v>
      </c>
      <c r="O10" s="3">
        <f>1+10</f>
        <v>11</v>
      </c>
      <c r="P10" s="3">
        <f>40-2-2-2-2</f>
        <v>32</v>
      </c>
      <c r="Q10" s="3">
        <f>40-2-2-2-2</f>
        <v>32</v>
      </c>
      <c r="R10" s="3"/>
      <c r="S10" s="3"/>
      <c r="T10" s="3">
        <f>50-1-4-3-1-1</f>
        <v>40</v>
      </c>
      <c r="U10" s="3"/>
      <c r="V10" s="3">
        <f>20-1-2-1-3-1</f>
        <v>12</v>
      </c>
      <c r="W10" s="3"/>
      <c r="X10" s="3">
        <f>20-5-1-5</f>
        <v>9</v>
      </c>
      <c r="Y10" s="3">
        <f>4-1</f>
        <v>3</v>
      </c>
      <c r="Z10" s="3"/>
      <c r="AA10" s="3">
        <f>10-1-3</f>
        <v>6</v>
      </c>
      <c r="AB10" s="3"/>
      <c r="AC10" s="3">
        <v>10</v>
      </c>
      <c r="AD10" s="3"/>
      <c r="AE10" s="3">
        <f>69+40-1-4-8-3</f>
        <v>93</v>
      </c>
      <c r="AF10" s="3">
        <v>10</v>
      </c>
      <c r="AG10" s="3"/>
      <c r="AH10" s="3">
        <f>44-1-7-2-10-2</f>
        <v>22</v>
      </c>
      <c r="AI10" s="3">
        <f>14-2-1</f>
        <v>11</v>
      </c>
      <c r="AJ10" s="3">
        <f>33+40+40-40-2</f>
        <v>71</v>
      </c>
      <c r="AK10" s="3"/>
      <c r="AL10" s="3">
        <v>140</v>
      </c>
      <c r="AM10" s="3"/>
      <c r="AN10" s="3"/>
      <c r="AO10" s="3">
        <v>23</v>
      </c>
      <c r="AP10" s="3">
        <f>27+10-7</f>
        <v>30</v>
      </c>
      <c r="AQ10" s="3"/>
      <c r="AR10" s="3">
        <v>31</v>
      </c>
      <c r="AS10" s="3">
        <f>6+15</f>
        <v>21</v>
      </c>
      <c r="AT10" s="3"/>
      <c r="AU10" s="3"/>
      <c r="AV10" s="3"/>
      <c r="AW10" s="3"/>
      <c r="AX10" s="3">
        <f>2-1</f>
        <v>1</v>
      </c>
      <c r="AY10" s="3">
        <v>10</v>
      </c>
      <c r="AZ10" s="3"/>
      <c r="BA10" s="10"/>
      <c r="BB10" s="10"/>
      <c r="BC10" s="3">
        <f>2+1</f>
        <v>3</v>
      </c>
      <c r="BD10" s="3">
        <v>44</v>
      </c>
      <c r="BE10" s="35">
        <v>2</v>
      </c>
    </row>
    <row r="11" spans="1:57" s="7" customFormat="1">
      <c r="A11" s="8" t="s">
        <v>7</v>
      </c>
      <c r="B11" s="9">
        <f>10-1-2-1</f>
        <v>6</v>
      </c>
      <c r="C11" s="3"/>
      <c r="D11" s="3">
        <f>60-5-5-5-10-10-10</f>
        <v>15</v>
      </c>
      <c r="E11" s="3"/>
      <c r="F11" s="3">
        <f>5-1</f>
        <v>4</v>
      </c>
      <c r="G11" s="3"/>
      <c r="H11" s="3">
        <f>20-10</f>
        <v>10</v>
      </c>
      <c r="I11" s="3"/>
      <c r="J11" s="3">
        <v>10</v>
      </c>
      <c r="K11" s="3"/>
      <c r="L11" s="3">
        <v>10</v>
      </c>
      <c r="M11" s="3"/>
      <c r="N11" s="3"/>
      <c r="O11" s="3">
        <f>10-2</f>
        <v>8</v>
      </c>
      <c r="P11" s="3">
        <f>55-5-5-5-5-5-5</f>
        <v>25</v>
      </c>
      <c r="Q11" s="3">
        <f>50-5-5-5-10-10-10</f>
        <v>5</v>
      </c>
      <c r="R11" s="3"/>
      <c r="S11" s="3"/>
      <c r="T11" s="3">
        <f>60-5-5-10-10-5</f>
        <v>25</v>
      </c>
      <c r="U11" s="3"/>
      <c r="V11" s="3">
        <v>5</v>
      </c>
      <c r="W11" s="3"/>
      <c r="X11" s="3">
        <f>20-5</f>
        <v>15</v>
      </c>
      <c r="Y11" s="3">
        <f>5-1-1</f>
        <v>3</v>
      </c>
      <c r="Z11" s="3">
        <v>2</v>
      </c>
      <c r="AA11" s="3">
        <f>10-2</f>
        <v>8</v>
      </c>
      <c r="AB11" s="3">
        <f>10-2-1</f>
        <v>7</v>
      </c>
      <c r="AC11" s="3">
        <f>10-2</f>
        <v>8</v>
      </c>
      <c r="AD11" s="3"/>
      <c r="AE11" s="3">
        <f>60-5-10-10-10-5</f>
        <v>20</v>
      </c>
      <c r="AF11" s="3">
        <f>9-1</f>
        <v>8</v>
      </c>
      <c r="AG11" s="3">
        <f>10-5</f>
        <v>5</v>
      </c>
      <c r="AH11" s="3">
        <v>30</v>
      </c>
      <c r="AI11" s="3">
        <f>4-1</f>
        <v>3</v>
      </c>
      <c r="AJ11" s="3">
        <f>40+40-40</f>
        <v>40</v>
      </c>
      <c r="AK11" s="3"/>
      <c r="AL11" s="3">
        <f>150</f>
        <v>150</v>
      </c>
      <c r="AM11" s="3"/>
      <c r="AN11" s="3"/>
      <c r="AO11" s="3">
        <v>20</v>
      </c>
      <c r="AP11" s="3">
        <f>20+20+10-10-10</f>
        <v>30</v>
      </c>
      <c r="AQ11" s="3"/>
      <c r="AR11" s="3">
        <v>40</v>
      </c>
      <c r="AS11" s="3">
        <f>2+15-2</f>
        <v>15</v>
      </c>
      <c r="AT11" s="3"/>
      <c r="AU11" s="3"/>
      <c r="AV11" s="3"/>
      <c r="AW11" s="3"/>
      <c r="AX11" s="3">
        <v>2</v>
      </c>
      <c r="AY11" s="3">
        <f>10+10-4</f>
        <v>16</v>
      </c>
      <c r="AZ11" s="3">
        <f>5-1</f>
        <v>4</v>
      </c>
      <c r="BA11" s="3"/>
      <c r="BB11" s="3"/>
      <c r="BC11" s="3"/>
      <c r="BD11" s="3">
        <v>30</v>
      </c>
      <c r="BE11" s="35"/>
    </row>
    <row r="12" spans="1:57" s="7" customFormat="1">
      <c r="A12" s="8" t="s">
        <v>8</v>
      </c>
      <c r="B12" s="9" t="s">
        <v>105</v>
      </c>
      <c r="C12" s="3"/>
      <c r="D12" s="3">
        <f>50-10-5-8-5-5-5</f>
        <v>12</v>
      </c>
      <c r="E12" s="3"/>
      <c r="F12" s="3">
        <f>4-1</f>
        <v>3</v>
      </c>
      <c r="G12" s="3"/>
      <c r="H12" s="3"/>
      <c r="I12" s="3">
        <f>3-1</f>
        <v>2</v>
      </c>
      <c r="J12" s="3">
        <f>20-5-5</f>
        <v>10</v>
      </c>
      <c r="K12" s="3"/>
      <c r="L12" s="3">
        <f>20-3-3-2</f>
        <v>12</v>
      </c>
      <c r="M12" s="3"/>
      <c r="N12" s="3">
        <f>5-1-1</f>
        <v>3</v>
      </c>
      <c r="O12" s="3">
        <f>10</f>
        <v>10</v>
      </c>
      <c r="P12" s="3">
        <f>10+40-10-10-5-5-4</f>
        <v>16</v>
      </c>
      <c r="Q12" s="3">
        <f>40-15-5-3-5-4-5</f>
        <v>3</v>
      </c>
      <c r="R12" s="3"/>
      <c r="S12" s="3"/>
      <c r="T12" s="3">
        <f>40-12-8-5-10</f>
        <v>5</v>
      </c>
      <c r="U12" s="3"/>
      <c r="V12" s="3">
        <f>40-10-5-5-10</f>
        <v>10</v>
      </c>
      <c r="W12" s="3"/>
      <c r="X12" s="3">
        <f>20-5-2-4-4</f>
        <v>5</v>
      </c>
      <c r="Y12" s="3">
        <f>4-1</f>
        <v>3</v>
      </c>
      <c r="Z12" s="3"/>
      <c r="AA12" s="3">
        <f>20-5-7-6</f>
        <v>2</v>
      </c>
      <c r="AB12" s="3">
        <f>20-5</f>
        <v>15</v>
      </c>
      <c r="AC12" s="3">
        <f>20-5-2</f>
        <v>13</v>
      </c>
      <c r="AD12" s="3"/>
      <c r="AE12" s="3">
        <v>15</v>
      </c>
      <c r="AF12" s="3"/>
      <c r="AG12" s="3"/>
      <c r="AH12" s="3"/>
      <c r="AI12" s="3">
        <f>4-2</f>
        <v>2</v>
      </c>
      <c r="AJ12" s="3">
        <f>55+80-5-10-40</f>
        <v>80</v>
      </c>
      <c r="AK12" s="3"/>
      <c r="AL12" s="3">
        <v>115</v>
      </c>
      <c r="AM12" s="3"/>
      <c r="AN12" s="3"/>
      <c r="AO12" s="3">
        <v>15</v>
      </c>
      <c r="AP12" s="3">
        <f>20+10-5</f>
        <v>25</v>
      </c>
      <c r="AQ12" s="3"/>
      <c r="AR12" s="3">
        <v>7</v>
      </c>
      <c r="AS12" s="3">
        <f>15-5</f>
        <v>10</v>
      </c>
      <c r="AT12" s="3"/>
      <c r="AU12" s="3"/>
      <c r="AV12" s="3"/>
      <c r="AW12" s="3"/>
      <c r="AX12" s="3"/>
      <c r="AY12" s="3"/>
      <c r="AZ12" s="3">
        <f>3-1</f>
        <v>2</v>
      </c>
      <c r="BA12" s="3"/>
      <c r="BB12" s="3"/>
      <c r="BC12" s="3">
        <f>2</f>
        <v>2</v>
      </c>
      <c r="BD12" s="3">
        <v>18</v>
      </c>
      <c r="BE12" s="35"/>
    </row>
    <row r="13" spans="1:57" s="7" customFormat="1">
      <c r="A13" s="8" t="s">
        <v>9</v>
      </c>
      <c r="B13" s="9">
        <v>10</v>
      </c>
      <c r="C13" s="3"/>
      <c r="D13" s="3"/>
      <c r="E13" s="3"/>
      <c r="F13" s="3"/>
      <c r="G13" s="3"/>
      <c r="H13" s="3"/>
      <c r="I13" s="3"/>
      <c r="J13" s="3"/>
      <c r="K13" s="3"/>
      <c r="L13" s="3">
        <f>10-5</f>
        <v>5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10-2-2-3</f>
        <v>3</v>
      </c>
      <c r="AB13" s="3">
        <v>3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>
        <v>5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>
        <v>2</v>
      </c>
      <c r="BE13" s="35"/>
    </row>
    <row r="14" spans="1:57" s="7" customFormat="1">
      <c r="A14" s="8" t="s">
        <v>10</v>
      </c>
      <c r="B14" s="9">
        <v>10</v>
      </c>
      <c r="C14" s="3"/>
      <c r="D14" s="3">
        <f>50-20-10-10</f>
        <v>10</v>
      </c>
      <c r="E14" s="3"/>
      <c r="F14" s="3">
        <f>6-2-1-1</f>
        <v>2</v>
      </c>
      <c r="G14" s="3"/>
      <c r="H14" s="3">
        <f>20-10</f>
        <v>10</v>
      </c>
      <c r="I14" s="3"/>
      <c r="J14" s="3">
        <v>10</v>
      </c>
      <c r="K14" s="3"/>
      <c r="L14" s="3">
        <f>10-4</f>
        <v>6</v>
      </c>
      <c r="M14" s="3"/>
      <c r="N14" s="3">
        <f>4-1-1</f>
        <v>2</v>
      </c>
      <c r="O14" s="3">
        <f>10-2</f>
        <v>8</v>
      </c>
      <c r="P14" s="3">
        <f>50-20-5-10</f>
        <v>15</v>
      </c>
      <c r="Q14" s="3">
        <f>50-10-10-10</f>
        <v>20</v>
      </c>
      <c r="R14" s="3"/>
      <c r="S14" s="3"/>
      <c r="T14" s="3">
        <f>50-10-5-10</f>
        <v>25</v>
      </c>
      <c r="U14" s="3"/>
      <c r="V14" s="3"/>
      <c r="W14" s="3"/>
      <c r="X14" s="3">
        <v>20</v>
      </c>
      <c r="Y14" s="3">
        <v>3</v>
      </c>
      <c r="Z14" s="3"/>
      <c r="AA14" s="3">
        <v>10</v>
      </c>
      <c r="AB14" s="3">
        <v>10</v>
      </c>
      <c r="AC14" s="3">
        <v>10</v>
      </c>
      <c r="AD14" s="3"/>
      <c r="AE14" s="3">
        <f>50-28-10</f>
        <v>12</v>
      </c>
      <c r="AF14" s="3"/>
      <c r="AG14" s="3">
        <v>10</v>
      </c>
      <c r="AH14" s="3">
        <v>20</v>
      </c>
      <c r="AI14" s="3">
        <v>3</v>
      </c>
      <c r="AJ14" s="3">
        <v>30</v>
      </c>
      <c r="AK14" s="3"/>
      <c r="AL14" s="3">
        <f>80</f>
        <v>80</v>
      </c>
      <c r="AM14" s="3"/>
      <c r="AN14" s="3"/>
      <c r="AO14" s="3">
        <v>30</v>
      </c>
      <c r="AP14" s="3">
        <f>20+10-10</f>
        <v>20</v>
      </c>
      <c r="AQ14" s="3"/>
      <c r="AR14" s="3">
        <v>30</v>
      </c>
      <c r="AS14" s="3">
        <f>15-5</f>
        <v>10</v>
      </c>
      <c r="AT14" s="3"/>
      <c r="AU14" s="3"/>
      <c r="AV14" s="3"/>
      <c r="AW14" s="3"/>
      <c r="AX14" s="3">
        <v>1</v>
      </c>
      <c r="AY14" s="3">
        <v>5</v>
      </c>
      <c r="AZ14" s="3"/>
      <c r="BA14" s="3"/>
      <c r="BB14" s="3"/>
      <c r="BC14" s="3">
        <f>1</f>
        <v>1</v>
      </c>
      <c r="BD14" s="3">
        <v>10</v>
      </c>
      <c r="BE14" s="35"/>
    </row>
    <row r="15" spans="1:57" s="7" customFormat="1">
      <c r="A15" s="8" t="s">
        <v>11</v>
      </c>
      <c r="B15" s="9"/>
      <c r="C15" s="3"/>
      <c r="D15" s="3"/>
      <c r="E15" s="3"/>
      <c r="F15" s="3"/>
      <c r="G15" s="3"/>
      <c r="H15" s="3"/>
      <c r="I15" s="3">
        <v>1</v>
      </c>
      <c r="J15" s="3"/>
      <c r="K15" s="3"/>
      <c r="L15" s="3"/>
      <c r="M15" s="3"/>
      <c r="N15" s="3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>
        <v>3</v>
      </c>
      <c r="AJ15" s="3">
        <v>9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5">
        <v>1</v>
      </c>
    </row>
    <row r="16" spans="1:57" s="7" customFormat="1">
      <c r="A16" s="8" t="s">
        <v>12</v>
      </c>
      <c r="B16" s="9">
        <f>10-1-1-1-1-1</f>
        <v>5</v>
      </c>
      <c r="C16" s="3"/>
      <c r="D16" s="3">
        <f>63-3-16-4-4-6</f>
        <v>30</v>
      </c>
      <c r="E16" s="3"/>
      <c r="F16" s="3">
        <f>6-1-1-1</f>
        <v>3</v>
      </c>
      <c r="G16" s="3"/>
      <c r="H16" s="3">
        <f>20-10</f>
        <v>10</v>
      </c>
      <c r="I16" s="3">
        <v>1</v>
      </c>
      <c r="J16" s="3"/>
      <c r="K16" s="3"/>
      <c r="L16" s="3">
        <f>10-2-2</f>
        <v>6</v>
      </c>
      <c r="M16" s="3"/>
      <c r="N16" s="3">
        <f>3-1</f>
        <v>2</v>
      </c>
      <c r="O16" s="3">
        <f>10</f>
        <v>10</v>
      </c>
      <c r="P16" s="3">
        <f>70-3-3-7-8-12-4</f>
        <v>33</v>
      </c>
      <c r="Q16" s="3">
        <f>60-5-20-3-5-6</f>
        <v>21</v>
      </c>
      <c r="R16" s="3"/>
      <c r="S16" s="3"/>
      <c r="T16" s="3">
        <f>60-3-5</f>
        <v>52</v>
      </c>
      <c r="U16" s="3"/>
      <c r="V16" s="3">
        <f>9-2</f>
        <v>7</v>
      </c>
      <c r="W16" s="3"/>
      <c r="X16" s="3">
        <f>20-2</f>
        <v>18</v>
      </c>
      <c r="Y16" s="3">
        <v>6</v>
      </c>
      <c r="Z16" s="3"/>
      <c r="AA16" s="3">
        <f>10-1-1</f>
        <v>8</v>
      </c>
      <c r="AB16" s="3">
        <f>10-2-2</f>
        <v>6</v>
      </c>
      <c r="AC16" s="3">
        <f>10-2</f>
        <v>8</v>
      </c>
      <c r="AD16" s="3"/>
      <c r="AE16" s="3">
        <f>45+60-10-5-5-5</f>
        <v>80</v>
      </c>
      <c r="AF16" s="3"/>
      <c r="AG16" s="3">
        <v>2</v>
      </c>
      <c r="AH16" s="3">
        <f>30+60-4-16-20-10-10</f>
        <v>30</v>
      </c>
      <c r="AI16" s="3">
        <v>1</v>
      </c>
      <c r="AJ16" s="3">
        <v>25</v>
      </c>
      <c r="AK16" s="3"/>
      <c r="AL16" s="3">
        <f>108</f>
        <v>108</v>
      </c>
      <c r="AM16" s="3"/>
      <c r="AN16" s="3"/>
      <c r="AO16" s="3">
        <v>33</v>
      </c>
      <c r="AP16" s="3">
        <f>2+20+10-2-5</f>
        <v>25</v>
      </c>
      <c r="AQ16" s="3"/>
      <c r="AR16" s="3">
        <f>6+60-3-3</f>
        <v>60</v>
      </c>
      <c r="AS16" s="3">
        <v>15</v>
      </c>
      <c r="AT16" s="3">
        <v>2</v>
      </c>
      <c r="AU16" s="3"/>
      <c r="AV16" s="3"/>
      <c r="AW16" s="3"/>
      <c r="AX16" s="3"/>
      <c r="AY16" s="3">
        <f>10+10-2-2</f>
        <v>16</v>
      </c>
      <c r="AZ16" s="3">
        <v>2</v>
      </c>
      <c r="BA16" s="3"/>
      <c r="BB16" s="3"/>
      <c r="BC16" s="3"/>
      <c r="BD16" s="3">
        <f>40-4-6</f>
        <v>30</v>
      </c>
      <c r="BE16" s="35"/>
    </row>
    <row r="17" spans="1:57" s="7" customFormat="1">
      <c r="A17" s="8" t="s">
        <v>13</v>
      </c>
      <c r="B17" s="9"/>
      <c r="C17" s="3"/>
      <c r="D17" s="3"/>
      <c r="E17" s="3"/>
      <c r="F17" s="3"/>
      <c r="G17" s="3"/>
      <c r="H17" s="3"/>
      <c r="I17" s="3">
        <v>3</v>
      </c>
      <c r="J17" s="3"/>
      <c r="K17" s="3"/>
      <c r="L17" s="3"/>
      <c r="M17" s="3"/>
      <c r="N17" s="3">
        <v>1</v>
      </c>
      <c r="O17" s="3"/>
      <c r="P17" s="3">
        <v>4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>
        <v>13</v>
      </c>
      <c r="AF17" s="3"/>
      <c r="AG17" s="3"/>
      <c r="AH17" s="3">
        <v>6</v>
      </c>
      <c r="AI17" s="3">
        <v>2</v>
      </c>
      <c r="AJ17" s="3">
        <f>20+20-1</f>
        <v>39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>
        <v>2</v>
      </c>
      <c r="BA17" s="3"/>
      <c r="BB17" s="3"/>
      <c r="BC17" s="3"/>
      <c r="BD17" s="3"/>
      <c r="BE17" s="35"/>
    </row>
    <row r="18" spans="1:57" s="7" customFormat="1">
      <c r="A18" s="8" t="s">
        <v>14</v>
      </c>
      <c r="B18" s="9"/>
      <c r="C18" s="3"/>
      <c r="D18" s="3"/>
      <c r="E18" s="3"/>
      <c r="F18" s="3"/>
      <c r="G18" s="3"/>
      <c r="H18" s="3"/>
      <c r="I18" s="3">
        <v>1</v>
      </c>
      <c r="J18" s="3"/>
      <c r="K18" s="3"/>
      <c r="L18" s="3"/>
      <c r="M18" s="3"/>
      <c r="N18" s="3">
        <v>1</v>
      </c>
      <c r="O18" s="3">
        <f>5-1</f>
        <v>4</v>
      </c>
      <c r="P18" s="3"/>
      <c r="Q18" s="3"/>
      <c r="R18" s="3"/>
      <c r="S18" s="3"/>
      <c r="T18" s="3"/>
      <c r="U18" s="3"/>
      <c r="V18" s="3"/>
      <c r="W18" s="3">
        <v>5</v>
      </c>
      <c r="X18" s="3"/>
      <c r="Y18" s="3"/>
      <c r="Z18" s="3"/>
      <c r="AA18" s="3"/>
      <c r="AB18" s="3"/>
      <c r="AC18" s="3"/>
      <c r="AD18" s="3"/>
      <c r="AE18" s="3">
        <f>10-3-5</f>
        <v>2</v>
      </c>
      <c r="AF18" s="3"/>
      <c r="AG18" s="3"/>
      <c r="AH18" s="3">
        <v>5</v>
      </c>
      <c r="AI18" s="3">
        <f>8-2-1</f>
        <v>5</v>
      </c>
      <c r="AJ18" s="3">
        <v>10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>
        <v>1</v>
      </c>
      <c r="BA18" s="3"/>
      <c r="BB18" s="3"/>
      <c r="BC18" s="3">
        <v>1</v>
      </c>
      <c r="BD18" s="3"/>
      <c r="BE18" s="35">
        <f>2-1</f>
        <v>1</v>
      </c>
    </row>
    <row r="19" spans="1:57" s="7" customFormat="1">
      <c r="A19" s="8" t="s">
        <v>110</v>
      </c>
      <c r="B19" s="9">
        <v>10</v>
      </c>
      <c r="C19" s="3"/>
      <c r="D19" s="3">
        <f>100-1-1-2-12</f>
        <v>84</v>
      </c>
      <c r="E19" s="3"/>
      <c r="F19" s="3">
        <v>6</v>
      </c>
      <c r="G19" s="3"/>
      <c r="H19" s="3">
        <v>40</v>
      </c>
      <c r="I19" s="3"/>
      <c r="J19" s="3">
        <v>20</v>
      </c>
      <c r="K19" s="3"/>
      <c r="L19" s="3">
        <v>20</v>
      </c>
      <c r="M19" s="3"/>
      <c r="N19" s="3">
        <f>6-1-1-1</f>
        <v>3</v>
      </c>
      <c r="O19" s="3">
        <f>10-1+8</f>
        <v>17</v>
      </c>
      <c r="P19" s="3">
        <f>60-3-1-20-1</f>
        <v>35</v>
      </c>
      <c r="Q19" s="3">
        <f>76-3-2-1-2-9</f>
        <v>59</v>
      </c>
      <c r="R19" s="3"/>
      <c r="S19" s="3"/>
      <c r="T19" s="3">
        <f>50-1-2</f>
        <v>47</v>
      </c>
      <c r="U19" s="3"/>
      <c r="V19" s="3">
        <f>40-12</f>
        <v>28</v>
      </c>
      <c r="W19" s="3">
        <f>20-2</f>
        <v>18</v>
      </c>
      <c r="X19" s="3">
        <v>20</v>
      </c>
      <c r="Y19" s="3">
        <v>5</v>
      </c>
      <c r="Z19" s="3"/>
      <c r="AA19" s="3">
        <v>25</v>
      </c>
      <c r="AB19" s="3">
        <f>25-1</f>
        <v>24</v>
      </c>
      <c r="AC19" s="3">
        <f>20-1</f>
        <v>19</v>
      </c>
      <c r="AD19" s="3"/>
      <c r="AE19" s="3">
        <f>130+8+50-2-2-2-2-4-10-5</f>
        <v>161</v>
      </c>
      <c r="AF19" s="3"/>
      <c r="AG19" s="3">
        <v>17</v>
      </c>
      <c r="AH19" s="3">
        <v>14</v>
      </c>
      <c r="AI19" s="3">
        <v>4</v>
      </c>
      <c r="AJ19" s="3">
        <f>80+80</f>
        <v>160</v>
      </c>
      <c r="AK19" s="3"/>
      <c r="AL19" s="3">
        <f>10+168-2</f>
        <v>176</v>
      </c>
      <c r="AM19" s="3"/>
      <c r="AN19" s="3"/>
      <c r="AO19" s="3">
        <v>36</v>
      </c>
      <c r="AP19" s="3">
        <f>20+10-2-1-10</f>
        <v>17</v>
      </c>
      <c r="AQ19" s="3"/>
      <c r="AR19" s="3">
        <v>46</v>
      </c>
      <c r="AS19" s="3">
        <f>3+15-3-1</f>
        <v>14</v>
      </c>
      <c r="AT19" s="3"/>
      <c r="AU19" s="3"/>
      <c r="AV19" s="3"/>
      <c r="AW19" s="3"/>
      <c r="AX19" s="3"/>
      <c r="AY19" s="3">
        <f>10+20</f>
        <v>30</v>
      </c>
      <c r="AZ19" s="3">
        <f>6-2</f>
        <v>4</v>
      </c>
      <c r="BA19" s="3"/>
      <c r="BB19" s="3"/>
      <c r="BC19" s="3">
        <f>1+2</f>
        <v>3</v>
      </c>
      <c r="BD19" s="3">
        <v>49</v>
      </c>
      <c r="BE19" s="35"/>
    </row>
    <row r="20" spans="1:57" s="7" customFormat="1">
      <c r="A20" s="8" t="s">
        <v>15</v>
      </c>
      <c r="B20" s="9">
        <v>10</v>
      </c>
      <c r="C20" s="3"/>
      <c r="D20" s="3">
        <f>10+40-10-10-10</f>
        <v>20</v>
      </c>
      <c r="E20" s="3"/>
      <c r="F20" s="3">
        <v>4</v>
      </c>
      <c r="G20" s="3"/>
      <c r="H20" s="3">
        <f>40-10</f>
        <v>30</v>
      </c>
      <c r="I20" s="3"/>
      <c r="J20" s="3">
        <v>10</v>
      </c>
      <c r="K20" s="3"/>
      <c r="L20" s="3">
        <v>10</v>
      </c>
      <c r="M20" s="3"/>
      <c r="N20" s="3">
        <v>5</v>
      </c>
      <c r="O20" s="3">
        <f>10</f>
        <v>10</v>
      </c>
      <c r="P20" s="3">
        <f>65-5</f>
        <v>60</v>
      </c>
      <c r="Q20" s="3">
        <f>50-10-10-10-10</f>
        <v>10</v>
      </c>
      <c r="R20" s="3"/>
      <c r="S20" s="3"/>
      <c r="T20" s="3">
        <f>50-10</f>
        <v>40</v>
      </c>
      <c r="U20" s="3">
        <v>10</v>
      </c>
      <c r="V20" s="3">
        <v>20</v>
      </c>
      <c r="W20" s="3"/>
      <c r="X20" s="3">
        <f>20-5</f>
        <v>15</v>
      </c>
      <c r="Y20" s="3">
        <v>4</v>
      </c>
      <c r="Z20" s="3"/>
      <c r="AA20" s="3">
        <v>10</v>
      </c>
      <c r="AB20" s="3">
        <v>10</v>
      </c>
      <c r="AC20" s="3">
        <v>10</v>
      </c>
      <c r="AD20" s="3"/>
      <c r="AE20" s="3">
        <f>60-10-10-10</f>
        <v>30</v>
      </c>
      <c r="AF20" s="3"/>
      <c r="AG20" s="3">
        <v>10</v>
      </c>
      <c r="AH20" s="3">
        <f>30+50</f>
        <v>80</v>
      </c>
      <c r="AI20" s="3">
        <v>4</v>
      </c>
      <c r="AJ20" s="3">
        <f>80+40-40</f>
        <v>80</v>
      </c>
      <c r="AK20" s="3"/>
      <c r="AL20" s="3">
        <f>5+150</f>
        <v>155</v>
      </c>
      <c r="AM20" s="3"/>
      <c r="AN20" s="3"/>
      <c r="AO20" s="3"/>
      <c r="AP20" s="3">
        <f>20+10</f>
        <v>30</v>
      </c>
      <c r="AQ20" s="3"/>
      <c r="AR20" s="3">
        <f>50-10</f>
        <v>40</v>
      </c>
      <c r="AS20" s="3">
        <f>15-5</f>
        <v>10</v>
      </c>
      <c r="AT20" s="3">
        <v>2</v>
      </c>
      <c r="AU20" s="3"/>
      <c r="AV20" s="3"/>
      <c r="AW20" s="3"/>
      <c r="AX20" s="3">
        <v>4</v>
      </c>
      <c r="AY20" s="3">
        <f>10+10</f>
        <v>20</v>
      </c>
      <c r="AZ20" s="3">
        <v>8</v>
      </c>
      <c r="BA20" s="3"/>
      <c r="BB20" s="3"/>
      <c r="BC20" s="3"/>
      <c r="BD20" s="3">
        <v>50</v>
      </c>
      <c r="BE20" s="35"/>
    </row>
    <row r="21" spans="1:57" s="7" customFormat="1" ht="15.75" customHeight="1">
      <c r="A21" s="8" t="s">
        <v>16</v>
      </c>
      <c r="B21" s="9">
        <f>10-2-1-1-1-1</f>
        <v>4</v>
      </c>
      <c r="C21" s="3"/>
      <c r="D21" s="3">
        <f>16+50+100+40-16-8-10-12-6-2</f>
        <v>152</v>
      </c>
      <c r="E21" s="3">
        <f>25-5-2-8-2</f>
        <v>8</v>
      </c>
      <c r="F21" s="3">
        <f>7-1</f>
        <v>6</v>
      </c>
      <c r="G21" s="3"/>
      <c r="H21" s="3">
        <f>40+30+40-10-10-5-5-3</f>
        <v>77</v>
      </c>
      <c r="I21" s="3">
        <f>28-5-15-5</f>
        <v>3</v>
      </c>
      <c r="J21" s="3">
        <f>190+20-20-20-20-20-10</f>
        <v>120</v>
      </c>
      <c r="K21" s="3">
        <v>1</v>
      </c>
      <c r="L21" s="3">
        <f>20-1-1-2-2</f>
        <v>14</v>
      </c>
      <c r="M21" s="3"/>
      <c r="N21" s="3">
        <v>5</v>
      </c>
      <c r="O21" s="3">
        <f>9-2-1</f>
        <v>6</v>
      </c>
      <c r="P21" s="3">
        <f>27+3+40-4-5-2-1</f>
        <v>58</v>
      </c>
      <c r="Q21" s="3">
        <f>63+40-13-10-10-9-5-2</f>
        <v>54</v>
      </c>
      <c r="R21" s="3"/>
      <c r="S21" s="3">
        <f>18-4-4-2-2</f>
        <v>6</v>
      </c>
      <c r="T21" s="3">
        <f>110-5-10-10-2</f>
        <v>83</v>
      </c>
      <c r="U21" s="3">
        <f>55-2-2-14-4-4</f>
        <v>29</v>
      </c>
      <c r="V21" s="3">
        <f>128+40-14-7-10-7-10-6</f>
        <v>114</v>
      </c>
      <c r="W21" s="3">
        <v>20</v>
      </c>
      <c r="X21" s="3">
        <v>20</v>
      </c>
      <c r="Y21" s="3">
        <v>13</v>
      </c>
      <c r="Z21" s="3">
        <f>36+120-8-5</f>
        <v>143</v>
      </c>
      <c r="AA21" s="3">
        <f>17+30+9+20-5-5-1-7-5</f>
        <v>53</v>
      </c>
      <c r="AB21" s="3">
        <f>28-3-1-4-1</f>
        <v>19</v>
      </c>
      <c r="AC21" s="3">
        <v>15</v>
      </c>
      <c r="AD21" s="3"/>
      <c r="AE21" s="3">
        <f>87+50-13-14-10-16-6-2</f>
        <v>76</v>
      </c>
      <c r="AF21" s="3">
        <f>7-2-1-1-1</f>
        <v>2</v>
      </c>
      <c r="AG21" s="3">
        <f>36-3-3-2-1</f>
        <v>27</v>
      </c>
      <c r="AH21" s="3">
        <f>142-26+50-16-10-10-30-10-10</f>
        <v>80</v>
      </c>
      <c r="AI21" s="3">
        <f>19+31-2-17-3-3-1</f>
        <v>24</v>
      </c>
      <c r="AJ21" s="3">
        <f>40+5+80-5-5-5-5-5</f>
        <v>100</v>
      </c>
      <c r="AK21" s="3"/>
      <c r="AL21" s="3">
        <f>28+40-2-2-3-6-3+140-2</f>
        <v>190</v>
      </c>
      <c r="AM21" s="3"/>
      <c r="AN21" s="3"/>
      <c r="AO21" s="3">
        <f>112+55+50-15-20-15-20-2</f>
        <v>145</v>
      </c>
      <c r="AP21" s="3">
        <f>36+20+20-20+20-16-10-10-5-5</f>
        <v>30</v>
      </c>
      <c r="AQ21" s="3">
        <f>72-13-18-11-10-10</f>
        <v>10</v>
      </c>
      <c r="AR21" s="3">
        <f>51+70+50-11-10-10-10-1</f>
        <v>129</v>
      </c>
      <c r="AS21" s="3">
        <f>6+15-1-1-1</f>
        <v>18</v>
      </c>
      <c r="AT21" s="3"/>
      <c r="AU21" s="3"/>
      <c r="AV21" s="3"/>
      <c r="AW21" s="3">
        <f>3-1-1</f>
        <v>1</v>
      </c>
      <c r="AX21" s="3">
        <f>10+4-2-3-1</f>
        <v>8</v>
      </c>
      <c r="AY21" s="3">
        <f>58+20-3-5-5-5-10</f>
        <v>50</v>
      </c>
      <c r="AZ21" s="3"/>
      <c r="BA21" s="3"/>
      <c r="BB21" s="3"/>
      <c r="BC21" s="3">
        <f>4+2-1-1-1</f>
        <v>3</v>
      </c>
      <c r="BD21" s="3">
        <f>70-2+50-7-11-20-10</f>
        <v>70</v>
      </c>
      <c r="BE21" s="35">
        <f>10-2</f>
        <v>8</v>
      </c>
    </row>
    <row r="22" spans="1:57" s="7" customFormat="1">
      <c r="A22" s="8" t="s">
        <v>17</v>
      </c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>
        <f>3-1-1</f>
        <v>1</v>
      </c>
      <c r="AJ22" s="3">
        <v>5</v>
      </c>
      <c r="AK22" s="3"/>
      <c r="AL22" s="3"/>
      <c r="AM22" s="3"/>
      <c r="AN22" s="3"/>
      <c r="AO22" s="3">
        <f>10-2-2-1-1-1</f>
        <v>3</v>
      </c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5">
        <v>2</v>
      </c>
    </row>
    <row r="23" spans="1:57" s="7" customFormat="1">
      <c r="A23" s="8" t="s">
        <v>18</v>
      </c>
      <c r="B23" s="9">
        <v>10</v>
      </c>
      <c r="C23" s="3"/>
      <c r="D23" s="3">
        <f>15+60-5-10-10</f>
        <v>50</v>
      </c>
      <c r="E23" s="3"/>
      <c r="F23" s="3">
        <f>6-1-1</f>
        <v>4</v>
      </c>
      <c r="G23" s="3"/>
      <c r="H23" s="3">
        <f>40-5-10</f>
        <v>25</v>
      </c>
      <c r="I23" s="3"/>
      <c r="J23" s="3"/>
      <c r="K23" s="3"/>
      <c r="L23" s="3">
        <f>19-9</f>
        <v>10</v>
      </c>
      <c r="M23" s="3"/>
      <c r="N23" s="3">
        <v>6</v>
      </c>
      <c r="O23" s="3">
        <f>10</f>
        <v>10</v>
      </c>
      <c r="P23" s="3">
        <f>67-7-10</f>
        <v>50</v>
      </c>
      <c r="Q23" s="3">
        <f>67-3-7</f>
        <v>57</v>
      </c>
      <c r="R23" s="3"/>
      <c r="S23" s="3"/>
      <c r="T23" s="3">
        <v>60</v>
      </c>
      <c r="U23" s="3">
        <v>7</v>
      </c>
      <c r="V23" s="3">
        <f>30-5</f>
        <v>25</v>
      </c>
      <c r="W23" s="3"/>
      <c r="X23" s="3">
        <v>10</v>
      </c>
      <c r="Y23" s="3">
        <v>4</v>
      </c>
      <c r="Z23" s="3"/>
      <c r="AA23" s="3">
        <v>15</v>
      </c>
      <c r="AB23" s="3">
        <v>20</v>
      </c>
      <c r="AC23" s="3">
        <v>20</v>
      </c>
      <c r="AD23" s="3"/>
      <c r="AE23" s="3">
        <f>70-10-10</f>
        <v>50</v>
      </c>
      <c r="AF23" s="3"/>
      <c r="AG23" s="3">
        <v>10</v>
      </c>
      <c r="AH23" s="3">
        <v>20</v>
      </c>
      <c r="AI23" s="3">
        <v>5</v>
      </c>
      <c r="AJ23" s="3">
        <f>70+80-10-10</f>
        <v>130</v>
      </c>
      <c r="AK23" s="3"/>
      <c r="AL23" s="3">
        <f>7+180-3-1</f>
        <v>183</v>
      </c>
      <c r="AM23" s="3"/>
      <c r="AN23" s="3"/>
      <c r="AO23" s="3">
        <v>31</v>
      </c>
      <c r="AP23" s="3">
        <f>7+20+20-5-5-5</f>
        <v>32</v>
      </c>
      <c r="AQ23" s="3"/>
      <c r="AR23" s="3">
        <v>60</v>
      </c>
      <c r="AS23" s="3">
        <f>6+15</f>
        <v>21</v>
      </c>
      <c r="AT23" s="3"/>
      <c r="AU23" s="3"/>
      <c r="AV23" s="3"/>
      <c r="AW23" s="3"/>
      <c r="AX23" s="3">
        <v>2</v>
      </c>
      <c r="AY23" s="3">
        <f>7+20-7</f>
        <v>20</v>
      </c>
      <c r="AZ23" s="3"/>
      <c r="BA23" s="3"/>
      <c r="BB23" s="3"/>
      <c r="BC23" s="3">
        <f>2</f>
        <v>2</v>
      </c>
      <c r="BD23" s="3">
        <v>40</v>
      </c>
      <c r="BE23" s="35"/>
    </row>
    <row r="24" spans="1:57" s="7" customFormat="1">
      <c r="A24" s="8" t="s">
        <v>19</v>
      </c>
      <c r="B24" s="9"/>
      <c r="C24" s="3"/>
      <c r="D24" s="3">
        <v>5</v>
      </c>
      <c r="E24" s="3"/>
      <c r="F24" s="3"/>
      <c r="G24" s="3"/>
      <c r="H24" s="3"/>
      <c r="I24" s="3">
        <v>2</v>
      </c>
      <c r="J24" s="3"/>
      <c r="K24" s="3"/>
      <c r="L24" s="3"/>
      <c r="M24" s="3"/>
      <c r="N24" s="3">
        <v>1</v>
      </c>
      <c r="O24" s="3"/>
      <c r="P24" s="3">
        <v>10</v>
      </c>
      <c r="Q24" s="3">
        <f>10-2</f>
        <v>8</v>
      </c>
      <c r="R24" s="3"/>
      <c r="S24" s="3"/>
      <c r="T24" s="3">
        <v>10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>
        <v>5</v>
      </c>
      <c r="AF24" s="3"/>
      <c r="AG24" s="3"/>
      <c r="AH24" s="3">
        <v>10</v>
      </c>
      <c r="AI24" s="3">
        <f>5-2</f>
        <v>3</v>
      </c>
      <c r="AJ24" s="3">
        <f>15+40-40</f>
        <v>15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>
        <v>5</v>
      </c>
      <c r="BE24" s="35"/>
    </row>
    <row r="25" spans="1:57" s="7" customFormat="1">
      <c r="A25" s="8" t="s">
        <v>20</v>
      </c>
      <c r="B25" s="9">
        <f>10+10-10</f>
        <v>10</v>
      </c>
      <c r="C25" s="3"/>
      <c r="D25" s="3">
        <f>35+50-8-8-4-12-8</f>
        <v>45</v>
      </c>
      <c r="E25" s="3"/>
      <c r="F25" s="3">
        <v>5</v>
      </c>
      <c r="G25" s="3">
        <v>6</v>
      </c>
      <c r="H25" s="3">
        <f>40-5-5-12-3</f>
        <v>15</v>
      </c>
      <c r="I25" s="3">
        <f>25-2-2-2</f>
        <v>19</v>
      </c>
      <c r="J25" s="3">
        <f>20-4</f>
        <v>16</v>
      </c>
      <c r="K25" s="3"/>
      <c r="L25" s="3">
        <v>20</v>
      </c>
      <c r="M25" s="3"/>
      <c r="N25" s="3">
        <f>4-1-1</f>
        <v>2</v>
      </c>
      <c r="O25" s="3">
        <f>11+10</f>
        <v>21</v>
      </c>
      <c r="P25" s="3">
        <f>55-5-2-3-10-3-2</f>
        <v>30</v>
      </c>
      <c r="Q25" s="3">
        <f>66-7-1-5-2-5-5</f>
        <v>41</v>
      </c>
      <c r="R25" s="3"/>
      <c r="S25" s="3"/>
      <c r="T25" s="3">
        <f>50-3-5-3-2</f>
        <v>37</v>
      </c>
      <c r="U25" s="3"/>
      <c r="V25" s="3">
        <f>9-4</f>
        <v>5</v>
      </c>
      <c r="W25" s="3"/>
      <c r="X25" s="3">
        <v>6</v>
      </c>
      <c r="Y25" s="3">
        <v>2</v>
      </c>
      <c r="Z25" s="3"/>
      <c r="AA25" s="3">
        <f>20-2-1-3</f>
        <v>14</v>
      </c>
      <c r="AB25" s="3">
        <f>20-1-1-2-2</f>
        <v>14</v>
      </c>
      <c r="AC25" s="3">
        <f>25-5</f>
        <v>20</v>
      </c>
      <c r="AD25" s="3"/>
      <c r="AE25" s="3">
        <f>100-15-20-8-7-21</f>
        <v>29</v>
      </c>
      <c r="AF25" s="3"/>
      <c r="AG25" s="3">
        <f>36-6-3</f>
        <v>27</v>
      </c>
      <c r="AH25" s="3">
        <v>20</v>
      </c>
      <c r="AI25" s="3">
        <v>2</v>
      </c>
      <c r="AJ25" s="3">
        <f>20+80-5-5-5-5-20</f>
        <v>60</v>
      </c>
      <c r="AK25" s="3"/>
      <c r="AL25" s="3">
        <f>110</f>
        <v>110</v>
      </c>
      <c r="AM25" s="3"/>
      <c r="AN25" s="3"/>
      <c r="AO25" s="3">
        <v>14</v>
      </c>
      <c r="AP25" s="3">
        <f>10+20+20-10-4-10-4-1-2-5-4</f>
        <v>10</v>
      </c>
      <c r="AQ25" s="3"/>
      <c r="AR25" s="3">
        <v>17</v>
      </c>
      <c r="AS25" s="3">
        <v>15</v>
      </c>
      <c r="AT25" s="3"/>
      <c r="AU25" s="3"/>
      <c r="AV25" s="3"/>
      <c r="AW25" s="3">
        <v>2</v>
      </c>
      <c r="AX25" s="3">
        <v>4</v>
      </c>
      <c r="AY25" s="3">
        <f>8+20-2-6</f>
        <v>20</v>
      </c>
      <c r="AZ25" s="3">
        <f>7-1-2</f>
        <v>4</v>
      </c>
      <c r="BA25" s="3"/>
      <c r="BB25" s="3"/>
      <c r="BC25" s="3">
        <f>2-1</f>
        <v>1</v>
      </c>
      <c r="BD25" s="3">
        <v>34</v>
      </c>
      <c r="BE25" s="35">
        <v>5</v>
      </c>
    </row>
    <row r="26" spans="1:57" s="7" customFormat="1">
      <c r="A26" s="8" t="s">
        <v>21</v>
      </c>
      <c r="B26" s="9">
        <f>10-5</f>
        <v>5</v>
      </c>
      <c r="C26" s="3"/>
      <c r="D26" s="3">
        <f>20+10+60-10-5-5-10-5</f>
        <v>55</v>
      </c>
      <c r="E26" s="3"/>
      <c r="F26" s="3">
        <f>6-1-1</f>
        <v>4</v>
      </c>
      <c r="G26" s="3"/>
      <c r="H26" s="3">
        <f>60-10-10-5</f>
        <v>35</v>
      </c>
      <c r="I26" s="3"/>
      <c r="J26" s="3">
        <f>30-10</f>
        <v>20</v>
      </c>
      <c r="K26" s="3"/>
      <c r="L26" s="3">
        <v>28</v>
      </c>
      <c r="M26" s="3"/>
      <c r="N26" s="3">
        <f>7-1</f>
        <v>6</v>
      </c>
      <c r="O26" s="3">
        <f>10-1</f>
        <v>9</v>
      </c>
      <c r="P26" s="3">
        <f>62-2-3-5-2-5</f>
        <v>45</v>
      </c>
      <c r="Q26" s="3">
        <f>75-5-5-5-10-10</f>
        <v>40</v>
      </c>
      <c r="R26" s="3"/>
      <c r="S26" s="3"/>
      <c r="T26" s="3">
        <f>70-5-3-2-8</f>
        <v>52</v>
      </c>
      <c r="U26" s="3"/>
      <c r="V26" s="3">
        <f>60-3-4-5</f>
        <v>48</v>
      </c>
      <c r="W26" s="3"/>
      <c r="X26" s="3">
        <v>16</v>
      </c>
      <c r="Y26" s="3">
        <f>6-1</f>
        <v>5</v>
      </c>
      <c r="Z26" s="3"/>
      <c r="AA26" s="3">
        <v>30</v>
      </c>
      <c r="AB26" s="3">
        <v>30</v>
      </c>
      <c r="AC26" s="3">
        <v>30</v>
      </c>
      <c r="AD26" s="3"/>
      <c r="AE26" s="3">
        <f>70-5-5-5-3-5</f>
        <v>47</v>
      </c>
      <c r="AF26" s="3"/>
      <c r="AG26" s="3">
        <v>23</v>
      </c>
      <c r="AH26" s="3">
        <v>38</v>
      </c>
      <c r="AI26" s="3">
        <v>5</v>
      </c>
      <c r="AJ26" s="3">
        <v>110</v>
      </c>
      <c r="AK26" s="3"/>
      <c r="AL26" s="3">
        <f>160</f>
        <v>160</v>
      </c>
      <c r="AM26" s="3"/>
      <c r="AN26" s="3"/>
      <c r="AO26" s="3">
        <v>47</v>
      </c>
      <c r="AP26" s="3">
        <f>20+30</f>
        <v>50</v>
      </c>
      <c r="AQ26" s="3"/>
      <c r="AR26" s="3">
        <v>52</v>
      </c>
      <c r="AS26" s="3">
        <f>1+30</f>
        <v>31</v>
      </c>
      <c r="AT26" s="3"/>
      <c r="AU26" s="3"/>
      <c r="AV26" s="3"/>
      <c r="AW26" s="3"/>
      <c r="AX26" s="3">
        <f>5-1-2</f>
        <v>2</v>
      </c>
      <c r="AY26" s="3">
        <v>26</v>
      </c>
      <c r="AZ26" s="3">
        <v>1</v>
      </c>
      <c r="BA26" s="3">
        <v>3</v>
      </c>
      <c r="BB26" s="3"/>
      <c r="BC26" s="3">
        <f>3-1</f>
        <v>2</v>
      </c>
      <c r="BD26" s="3">
        <v>50</v>
      </c>
      <c r="BE26" s="35"/>
    </row>
    <row r="27" spans="1:57" s="7" customFormat="1">
      <c r="A27" s="8" t="s">
        <v>22</v>
      </c>
      <c r="B27" s="9">
        <v>10</v>
      </c>
      <c r="C27" s="3"/>
      <c r="D27" s="3">
        <f>60-5-5-10-10-10-5</f>
        <v>15</v>
      </c>
      <c r="E27" s="3"/>
      <c r="F27" s="3">
        <f>3-1-1</f>
        <v>1</v>
      </c>
      <c r="G27" s="3"/>
      <c r="H27" s="3"/>
      <c r="I27" s="3">
        <f>20-3</f>
        <v>17</v>
      </c>
      <c r="J27" s="3"/>
      <c r="K27" s="3"/>
      <c r="L27" s="3">
        <v>10</v>
      </c>
      <c r="M27" s="3"/>
      <c r="N27" s="3">
        <f>3-1</f>
        <v>2</v>
      </c>
      <c r="O27" s="3"/>
      <c r="P27" s="3">
        <f>50-5-5-10-5-5-5</f>
        <v>15</v>
      </c>
      <c r="Q27" s="3">
        <f>60-5-5-5-10-5</f>
        <v>30</v>
      </c>
      <c r="R27" s="3"/>
      <c r="S27" s="3"/>
      <c r="T27" s="3">
        <f>40-5-5-5-5-5</f>
        <v>15</v>
      </c>
      <c r="U27" s="3"/>
      <c r="V27" s="3"/>
      <c r="W27" s="3"/>
      <c r="X27" s="3">
        <v>8</v>
      </c>
      <c r="Y27" s="3">
        <v>1</v>
      </c>
      <c r="Z27" s="3"/>
      <c r="AA27" s="3">
        <v>3</v>
      </c>
      <c r="AB27" s="3">
        <f>10-2-2-1</f>
        <v>5</v>
      </c>
      <c r="AC27" s="3">
        <v>5</v>
      </c>
      <c r="AD27" s="3"/>
      <c r="AE27" s="3">
        <f>50-5-5-10-5-5-5</f>
        <v>15</v>
      </c>
      <c r="AF27" s="3"/>
      <c r="AG27" s="3">
        <v>4</v>
      </c>
      <c r="AH27" s="3">
        <v>5</v>
      </c>
      <c r="AI27" s="3">
        <v>3</v>
      </c>
      <c r="AJ27" s="3"/>
      <c r="AK27" s="3"/>
      <c r="AL27" s="3">
        <f>140</f>
        <v>140</v>
      </c>
      <c r="AM27" s="3"/>
      <c r="AN27" s="3"/>
      <c r="AO27" s="3">
        <v>25</v>
      </c>
      <c r="AP27" s="3">
        <f>20+10-5-10-5</f>
        <v>10</v>
      </c>
      <c r="AQ27" s="3"/>
      <c r="AR27" s="3">
        <v>15</v>
      </c>
      <c r="AS27" s="3">
        <f>12+20</f>
        <v>32</v>
      </c>
      <c r="AT27" s="3"/>
      <c r="AU27" s="3"/>
      <c r="AV27" s="3"/>
      <c r="AW27" s="3"/>
      <c r="AX27" s="3">
        <v>2</v>
      </c>
      <c r="AY27" s="3">
        <v>6</v>
      </c>
      <c r="AZ27" s="3"/>
      <c r="BA27" s="3"/>
      <c r="BB27" s="3"/>
      <c r="BC27" s="3">
        <v>1</v>
      </c>
      <c r="BD27" s="3">
        <v>15</v>
      </c>
      <c r="BE27" s="35"/>
    </row>
    <row r="28" spans="1:57" s="7" customFormat="1">
      <c r="A28" s="8" t="s">
        <v>23</v>
      </c>
      <c r="B28" s="9">
        <v>10</v>
      </c>
      <c r="C28" s="3"/>
      <c r="D28" s="3">
        <f>50-10-10-10-10</f>
        <v>10</v>
      </c>
      <c r="E28" s="3"/>
      <c r="F28" s="3">
        <f>5-1</f>
        <v>4</v>
      </c>
      <c r="G28" s="3"/>
      <c r="H28" s="3">
        <f>20-5-5-5</f>
        <v>5</v>
      </c>
      <c r="I28" s="3"/>
      <c r="J28" s="3">
        <v>10</v>
      </c>
      <c r="K28" s="3"/>
      <c r="L28" s="3">
        <f>15-5</f>
        <v>10</v>
      </c>
      <c r="M28" s="3"/>
      <c r="N28" s="3">
        <f>4-1</f>
        <v>3</v>
      </c>
      <c r="O28" s="3">
        <f>10</f>
        <v>10</v>
      </c>
      <c r="P28" s="3">
        <f>50-10-5-5-5-5</f>
        <v>20</v>
      </c>
      <c r="Q28" s="3">
        <f>50-10-10-10-10</f>
        <v>10</v>
      </c>
      <c r="R28" s="3"/>
      <c r="S28" s="3"/>
      <c r="T28" s="3">
        <f>50-10-10</f>
        <v>30</v>
      </c>
      <c r="U28" s="3"/>
      <c r="V28" s="3"/>
      <c r="W28" s="3"/>
      <c r="X28" s="3">
        <v>20</v>
      </c>
      <c r="Y28" s="3">
        <v>3</v>
      </c>
      <c r="Z28" s="3"/>
      <c r="AA28" s="3">
        <v>10</v>
      </c>
      <c r="AB28" s="3">
        <f>10-1</f>
        <v>9</v>
      </c>
      <c r="AC28" s="3">
        <v>10</v>
      </c>
      <c r="AD28" s="3"/>
      <c r="AE28" s="3">
        <f>50-10-10-10-10</f>
        <v>10</v>
      </c>
      <c r="AF28" s="3"/>
      <c r="AG28" s="3">
        <v>10</v>
      </c>
      <c r="AH28" s="3">
        <v>30</v>
      </c>
      <c r="AI28" s="3">
        <f>7-1-3-1</f>
        <v>2</v>
      </c>
      <c r="AJ28" s="3">
        <v>5</v>
      </c>
      <c r="AK28" s="3"/>
      <c r="AL28" s="3"/>
      <c r="AM28" s="3"/>
      <c r="AN28" s="3"/>
      <c r="AO28" s="3">
        <v>10</v>
      </c>
      <c r="AP28" s="3">
        <f>10+20+10-10</f>
        <v>30</v>
      </c>
      <c r="AQ28" s="3"/>
      <c r="AR28" s="3">
        <v>10</v>
      </c>
      <c r="AS28" s="3">
        <v>15</v>
      </c>
      <c r="AT28" s="3"/>
      <c r="AU28" s="3"/>
      <c r="AV28" s="3"/>
      <c r="AW28" s="3"/>
      <c r="AX28" s="3">
        <v>2</v>
      </c>
      <c r="AY28" s="3">
        <v>5</v>
      </c>
      <c r="AZ28" s="3"/>
      <c r="BA28" s="3"/>
      <c r="BB28" s="3"/>
      <c r="BC28" s="3">
        <v>1</v>
      </c>
      <c r="BD28" s="3">
        <v>15</v>
      </c>
      <c r="BE28" s="35"/>
    </row>
    <row r="29" spans="1:57" s="7" customFormat="1">
      <c r="A29" s="8" t="s">
        <v>24</v>
      </c>
      <c r="B29" s="9">
        <v>10</v>
      </c>
      <c r="C29" s="3"/>
      <c r="D29" s="3">
        <f>47-5-2-2-7-5-5-5</f>
        <v>16</v>
      </c>
      <c r="E29" s="3"/>
      <c r="F29" s="3"/>
      <c r="G29" s="3"/>
      <c r="H29" s="3"/>
      <c r="I29" s="3"/>
      <c r="J29" s="3"/>
      <c r="K29" s="3"/>
      <c r="L29" s="3">
        <v>10</v>
      </c>
      <c r="M29" s="3"/>
      <c r="N29" s="3">
        <v>2</v>
      </c>
      <c r="O29" s="3">
        <f>10</f>
        <v>10</v>
      </c>
      <c r="P29" s="3">
        <f>40-2-2-4-4-7</f>
        <v>21</v>
      </c>
      <c r="Q29" s="3">
        <f>40-3-4-4-5-2-3</f>
        <v>19</v>
      </c>
      <c r="R29" s="3"/>
      <c r="S29" s="3"/>
      <c r="T29" s="3">
        <f>50-5-4-4-4-5-13</f>
        <v>15</v>
      </c>
      <c r="U29" s="3"/>
      <c r="V29" s="3"/>
      <c r="W29" s="3"/>
      <c r="X29" s="3">
        <v>10</v>
      </c>
      <c r="Y29" s="3"/>
      <c r="Z29" s="3"/>
      <c r="AA29" s="3">
        <f>14-3-1-1-1-5</f>
        <v>3</v>
      </c>
      <c r="AB29" s="3">
        <v>7</v>
      </c>
      <c r="AC29" s="3">
        <f>10-1</f>
        <v>9</v>
      </c>
      <c r="AD29" s="3"/>
      <c r="AE29" s="3">
        <f>50-4-3-4-4-7-6</f>
        <v>22</v>
      </c>
      <c r="AF29" s="3"/>
      <c r="AG29" s="3">
        <v>5</v>
      </c>
      <c r="AH29" s="3">
        <v>24</v>
      </c>
      <c r="AI29" s="3">
        <v>5</v>
      </c>
      <c r="AJ29" s="3">
        <v>30</v>
      </c>
      <c r="AK29" s="3"/>
      <c r="AL29" s="3">
        <f>120</f>
        <v>120</v>
      </c>
      <c r="AM29" s="3"/>
      <c r="AN29" s="3"/>
      <c r="AO29" s="3">
        <v>31</v>
      </c>
      <c r="AP29" s="3">
        <f>20+10-2-8</f>
        <v>20</v>
      </c>
      <c r="AQ29" s="3"/>
      <c r="AR29" s="3">
        <v>30</v>
      </c>
      <c r="AS29" s="3">
        <f>3+15</f>
        <v>18</v>
      </c>
      <c r="AT29" s="3"/>
      <c r="AU29" s="3"/>
      <c r="AV29" s="3"/>
      <c r="AW29" s="3"/>
      <c r="AX29" s="3"/>
      <c r="AY29" s="3">
        <v>2</v>
      </c>
      <c r="AZ29" s="3">
        <v>4</v>
      </c>
      <c r="BA29" s="3"/>
      <c r="BB29" s="3"/>
      <c r="BC29" s="3"/>
      <c r="BD29" s="3">
        <v>17</v>
      </c>
      <c r="BE29" s="35"/>
    </row>
    <row r="30" spans="1:57" s="7" customFormat="1">
      <c r="A30" s="8" t="s">
        <v>103</v>
      </c>
      <c r="B30" s="9"/>
      <c r="C30" s="3"/>
      <c r="D30" s="3">
        <f>9+50+20+70-10-10-20</f>
        <v>109</v>
      </c>
      <c r="E30" s="3"/>
      <c r="F30" s="3">
        <f>9-3-1</f>
        <v>5</v>
      </c>
      <c r="G30" s="3"/>
      <c r="H30" s="3">
        <v>20</v>
      </c>
      <c r="I30" s="3">
        <f>16-2-4</f>
        <v>10</v>
      </c>
      <c r="J30" s="3">
        <v>10</v>
      </c>
      <c r="K30" s="3"/>
      <c r="L30" s="3">
        <v>20</v>
      </c>
      <c r="M30" s="3"/>
      <c r="N30" s="3"/>
      <c r="O30" s="3">
        <f>10</f>
        <v>10</v>
      </c>
      <c r="P30" s="3">
        <f>36-5-6+90-5-10-5</f>
        <v>95</v>
      </c>
      <c r="Q30" s="3">
        <f>79-10-10</f>
        <v>59</v>
      </c>
      <c r="R30" s="3"/>
      <c r="S30" s="3"/>
      <c r="T30" s="3">
        <f>49-19-10</f>
        <v>20</v>
      </c>
      <c r="U30" s="3"/>
      <c r="V30" s="3"/>
      <c r="W30" s="3"/>
      <c r="X30" s="3">
        <f>30-10</f>
        <v>20</v>
      </c>
      <c r="Y30" s="3">
        <f>9-1</f>
        <v>8</v>
      </c>
      <c r="Z30" s="3"/>
      <c r="AA30" s="3"/>
      <c r="AB30" s="3">
        <v>10</v>
      </c>
      <c r="AC30" s="3">
        <f>20-10</f>
        <v>10</v>
      </c>
      <c r="AD30" s="3"/>
      <c r="AE30" s="3">
        <f>100+14+60-10-9-10-10</f>
        <v>135</v>
      </c>
      <c r="AF30" s="3"/>
      <c r="AG30" s="3">
        <v>18</v>
      </c>
      <c r="AH30" s="3">
        <f>15+30+23+60-10-20-10-10-13</f>
        <v>65</v>
      </c>
      <c r="AI30" s="3"/>
      <c r="AJ30" s="3">
        <f>40+70+40-24-46-40</f>
        <v>40</v>
      </c>
      <c r="AK30" s="3"/>
      <c r="AL30" s="3">
        <f>15+90</f>
        <v>105</v>
      </c>
      <c r="AM30" s="3"/>
      <c r="AN30" s="3"/>
      <c r="AO30" s="3">
        <v>20</v>
      </c>
      <c r="AP30" s="3">
        <f>5+20+30</f>
        <v>55</v>
      </c>
      <c r="AQ30" s="3"/>
      <c r="AR30" s="3"/>
      <c r="AS30" s="3">
        <f>10-3-1+10-3-3</f>
        <v>10</v>
      </c>
      <c r="AT30" s="3">
        <v>2</v>
      </c>
      <c r="AU30" s="3"/>
      <c r="AV30" s="3"/>
      <c r="AW30" s="3"/>
      <c r="AX30" s="3">
        <f>2-1</f>
        <v>1</v>
      </c>
      <c r="AY30" s="3">
        <f>10+10</f>
        <v>20</v>
      </c>
      <c r="AZ30" s="3">
        <f>10-1</f>
        <v>9</v>
      </c>
      <c r="BA30" s="3"/>
      <c r="BB30" s="3"/>
      <c r="BC30" s="3">
        <f>1</f>
        <v>1</v>
      </c>
      <c r="BD30" s="3">
        <v>34</v>
      </c>
      <c r="BE30" s="35"/>
    </row>
    <row r="31" spans="1:57" s="7" customFormat="1">
      <c r="A31" s="8" t="s">
        <v>25</v>
      </c>
      <c r="B31" s="9"/>
      <c r="C31" s="3"/>
      <c r="D31" s="3"/>
      <c r="E31" s="3"/>
      <c r="F31" s="3"/>
      <c r="G31" s="3"/>
      <c r="H31" s="3"/>
      <c r="I31" s="3">
        <v>3</v>
      </c>
      <c r="J31" s="3"/>
      <c r="K31" s="3"/>
      <c r="L31" s="3"/>
      <c r="M31" s="3"/>
      <c r="N31" s="3"/>
      <c r="O31" s="3"/>
      <c r="P31" s="3"/>
      <c r="Q31" s="3">
        <f>14-5</f>
        <v>9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>
        <f>20-10-5</f>
        <v>5</v>
      </c>
      <c r="AF31" s="3"/>
      <c r="AG31" s="3"/>
      <c r="AH31" s="3">
        <f>30-10-10</f>
        <v>10</v>
      </c>
      <c r="AI31" s="3">
        <f>9-1-1-1</f>
        <v>6</v>
      </c>
      <c r="AJ31" s="3">
        <v>40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>
        <v>1</v>
      </c>
      <c r="BD31" s="3">
        <v>5</v>
      </c>
      <c r="BE31" s="35">
        <v>4</v>
      </c>
    </row>
    <row r="32" spans="1:57" s="7" customFormat="1">
      <c r="A32" s="8" t="s">
        <v>26</v>
      </c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10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5"/>
    </row>
    <row r="33" spans="1:57" s="7" customFormat="1">
      <c r="A33" s="8" t="s">
        <v>27</v>
      </c>
      <c r="B33" s="9"/>
      <c r="C33" s="3"/>
      <c r="D33" s="3">
        <f>8-2-4</f>
        <v>2</v>
      </c>
      <c r="E33" s="3"/>
      <c r="F33" s="3"/>
      <c r="G33" s="3"/>
      <c r="H33" s="3"/>
      <c r="I33" s="3">
        <f>3-1</f>
        <v>2</v>
      </c>
      <c r="J33" s="3"/>
      <c r="K33" s="3"/>
      <c r="L33" s="3"/>
      <c r="M33" s="3"/>
      <c r="N33" s="3">
        <v>1</v>
      </c>
      <c r="O33" s="3"/>
      <c r="P33" s="3">
        <v>5</v>
      </c>
      <c r="Q33" s="3">
        <f>8-2</f>
        <v>6</v>
      </c>
      <c r="R33" s="3"/>
      <c r="S33" s="3"/>
      <c r="T33" s="3"/>
      <c r="U33" s="3"/>
      <c r="V33" s="3"/>
      <c r="W33" s="3"/>
      <c r="X33" s="3"/>
      <c r="Y33" s="3"/>
      <c r="Z33" s="3"/>
      <c r="AA33" s="3">
        <v>10</v>
      </c>
      <c r="AB33" s="3">
        <v>10</v>
      </c>
      <c r="AC33" s="3"/>
      <c r="AD33" s="3"/>
      <c r="AE33" s="3">
        <f>28-2-2</f>
        <v>24</v>
      </c>
      <c r="AF33" s="3"/>
      <c r="AG33" s="3"/>
      <c r="AH33" s="3">
        <v>28</v>
      </c>
      <c r="AI33" s="3">
        <v>4</v>
      </c>
      <c r="AJ33" s="3">
        <v>40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5"/>
    </row>
    <row r="34" spans="1:57" s="7" customFormat="1" ht="15.75" thickBot="1">
      <c r="A34" s="12" t="s">
        <v>28</v>
      </c>
      <c r="B34" s="13">
        <f>10</f>
        <v>10</v>
      </c>
      <c r="C34" s="14"/>
      <c r="D34" s="14">
        <f>25+20+60-5-5-5</f>
        <v>90</v>
      </c>
      <c r="E34" s="14"/>
      <c r="F34" s="14">
        <f>6-1-1</f>
        <v>4</v>
      </c>
      <c r="G34" s="14"/>
      <c r="H34" s="14">
        <f>20-2-5-3-2</f>
        <v>8</v>
      </c>
      <c r="I34" s="14">
        <f>7-2-1</f>
        <v>4</v>
      </c>
      <c r="J34" s="14">
        <v>20</v>
      </c>
      <c r="K34" s="14"/>
      <c r="L34" s="14">
        <v>20</v>
      </c>
      <c r="M34" s="14"/>
      <c r="N34" s="14">
        <v>2</v>
      </c>
      <c r="O34" s="14">
        <f>10</f>
        <v>10</v>
      </c>
      <c r="P34" s="14">
        <f>60-4-3-5-5-3</f>
        <v>40</v>
      </c>
      <c r="Q34" s="14">
        <f>73-3-5-5</f>
        <v>60</v>
      </c>
      <c r="R34" s="14"/>
      <c r="S34" s="14"/>
      <c r="T34" s="14">
        <f>60-5-3-2</f>
        <v>50</v>
      </c>
      <c r="U34" s="14"/>
      <c r="V34" s="14">
        <v>40</v>
      </c>
      <c r="W34" s="14"/>
      <c r="X34" s="14">
        <v>10</v>
      </c>
      <c r="Y34" s="14">
        <f>6-1</f>
        <v>5</v>
      </c>
      <c r="Z34" s="14"/>
      <c r="AA34" s="14">
        <v>20</v>
      </c>
      <c r="AB34" s="14">
        <v>20</v>
      </c>
      <c r="AC34" s="14">
        <v>20</v>
      </c>
      <c r="AD34" s="14"/>
      <c r="AE34" s="14">
        <f>80-4-5-5-6-5-5</f>
        <v>50</v>
      </c>
      <c r="AF34" s="14"/>
      <c r="AG34" s="14">
        <f>20-2-2-2-2</f>
        <v>12</v>
      </c>
      <c r="AH34" s="14">
        <f>30+60-5-5-20</f>
        <v>60</v>
      </c>
      <c r="AI34" s="14">
        <f>5-2-1</f>
        <v>2</v>
      </c>
      <c r="AJ34" s="14">
        <f>40+80-10-20-10-10</f>
        <v>70</v>
      </c>
      <c r="AK34" s="14"/>
      <c r="AL34" s="14">
        <f>5+100</f>
        <v>105</v>
      </c>
      <c r="AM34" s="14"/>
      <c r="AN34" s="14"/>
      <c r="AO34" s="14">
        <v>40</v>
      </c>
      <c r="AP34" s="14">
        <f>20+10</f>
        <v>30</v>
      </c>
      <c r="AQ34" s="14"/>
      <c r="AR34" s="14">
        <v>50</v>
      </c>
      <c r="AS34" s="14">
        <f>3+10-3-1</f>
        <v>9</v>
      </c>
      <c r="AT34" s="14"/>
      <c r="AU34" s="14"/>
      <c r="AV34" s="14"/>
      <c r="AW34" s="14"/>
      <c r="AX34" s="14">
        <f>2-1</f>
        <v>1</v>
      </c>
      <c r="AY34" s="14">
        <f>9+20-1-1-8</f>
        <v>19</v>
      </c>
      <c r="AZ34" s="14">
        <f>6-1</f>
        <v>5</v>
      </c>
      <c r="BA34" s="14"/>
      <c r="BB34" s="14"/>
      <c r="BC34" s="14">
        <f>2</f>
        <v>2</v>
      </c>
      <c r="BD34" s="14">
        <f>50-4-6</f>
        <v>40</v>
      </c>
      <c r="BE34" s="36"/>
    </row>
    <row r="36" spans="1:57" s="7" customFormat="1">
      <c r="B36" s="34"/>
      <c r="C36" s="34"/>
      <c r="D36" s="34"/>
      <c r="E36" s="34"/>
      <c r="F36" s="34"/>
      <c r="G36" s="34"/>
      <c r="K36" s="34"/>
      <c r="L36" s="34"/>
      <c r="M36" s="34"/>
      <c r="N36" s="34"/>
      <c r="O36" s="34"/>
      <c r="P36" s="34"/>
      <c r="Q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E36" s="34"/>
      <c r="AF36" s="34"/>
      <c r="AG36" s="34"/>
      <c r="BD36" s="34"/>
      <c r="BE36" s="34"/>
    </row>
    <row r="37" spans="1:57">
      <c r="B37" s="7">
        <f>SUM(B5:B34)</f>
        <v>152</v>
      </c>
    </row>
  </sheetData>
  <mergeCells count="1">
    <mergeCell ref="M1:AD1"/>
  </mergeCells>
  <pageMargins left="0.23622047244094491" right="0.15748031496062992" top="0.31496062992125984" bottom="0.19685039370078741" header="0.31496062992125984" footer="0.31496062992125984"/>
  <pageSetup paperSize="9" scale="9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workbookViewId="0">
      <selection activeCell="K30" sqref="K30"/>
    </sheetView>
  </sheetViews>
  <sheetFormatPr defaultRowHeight="15"/>
  <cols>
    <col min="1" max="1" width="12" customWidth="1"/>
    <col min="2" max="3" width="10.85546875" style="7" customWidth="1"/>
    <col min="4" max="5" width="7" style="7" customWidth="1"/>
    <col min="6" max="6" width="12.140625" style="7" customWidth="1"/>
    <col min="7" max="9" width="9.140625" style="7"/>
    <col min="10" max="10" width="14.140625" style="7" customWidth="1"/>
    <col min="11" max="12" width="13.28515625" style="7" customWidth="1"/>
    <col min="13" max="13" width="15.85546875" style="7" customWidth="1"/>
    <col min="14" max="14" width="9.140625" style="7"/>
  </cols>
  <sheetData>
    <row r="1" spans="1:22" ht="15" customHeight="1">
      <c r="B1" s="73" t="s">
        <v>111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1"/>
    </row>
    <row r="2" spans="1:22" ht="25.5" customHeight="1" thickBot="1"/>
    <row r="3" spans="1:22" ht="54.75" customHeight="1" thickBot="1">
      <c r="A3" s="15" t="s">
        <v>46</v>
      </c>
      <c r="B3" s="58" t="s">
        <v>90</v>
      </c>
      <c r="C3" s="58" t="s">
        <v>107</v>
      </c>
      <c r="D3" s="53" t="s">
        <v>91</v>
      </c>
      <c r="E3" s="53" t="s">
        <v>98</v>
      </c>
      <c r="F3" s="59" t="s">
        <v>92</v>
      </c>
      <c r="G3" s="53" t="s">
        <v>93</v>
      </c>
      <c r="H3" s="53" t="s">
        <v>94</v>
      </c>
      <c r="I3" s="53" t="s">
        <v>95</v>
      </c>
      <c r="J3" s="55" t="s">
        <v>101</v>
      </c>
      <c r="K3" s="55" t="s">
        <v>99</v>
      </c>
      <c r="L3" s="56" t="s">
        <v>96</v>
      </c>
      <c r="M3" s="68" t="s">
        <v>108</v>
      </c>
      <c r="N3" s="64"/>
      <c r="O3" s="1"/>
      <c r="P3" s="1"/>
      <c r="Q3" s="1"/>
      <c r="R3" s="1"/>
      <c r="S3" s="1"/>
      <c r="T3" s="1"/>
      <c r="U3" s="1"/>
      <c r="V3" s="1"/>
    </row>
    <row r="4" spans="1:22" ht="15.75" thickBot="1">
      <c r="A4" s="16" t="s">
        <v>3</v>
      </c>
      <c r="B4" s="60" t="s">
        <v>97</v>
      </c>
      <c r="C4" s="60" t="s">
        <v>97</v>
      </c>
      <c r="D4" s="54" t="s">
        <v>97</v>
      </c>
      <c r="E4" s="54" t="s">
        <v>97</v>
      </c>
      <c r="F4" s="54" t="s">
        <v>97</v>
      </c>
      <c r="G4" s="54" t="s">
        <v>97</v>
      </c>
      <c r="H4" s="54" t="s">
        <v>97</v>
      </c>
      <c r="I4" s="54" t="s">
        <v>97</v>
      </c>
      <c r="J4" s="54" t="s">
        <v>97</v>
      </c>
      <c r="K4" s="54" t="s">
        <v>97</v>
      </c>
      <c r="L4" s="57" t="s">
        <v>97</v>
      </c>
      <c r="M4" s="57" t="s">
        <v>97</v>
      </c>
      <c r="N4" s="64"/>
      <c r="O4" s="2"/>
    </row>
    <row r="5" spans="1:22" s="7" customFormat="1">
      <c r="A5" s="18" t="s">
        <v>0</v>
      </c>
      <c r="B5" s="19">
        <f>90+20</f>
        <v>110</v>
      </c>
      <c r="C5" s="19"/>
      <c r="D5" s="20"/>
      <c r="E5" s="20"/>
      <c r="F5" s="20">
        <v>7</v>
      </c>
      <c r="G5" s="20"/>
      <c r="H5" s="20">
        <f>8+20</f>
        <v>28</v>
      </c>
      <c r="I5" s="20">
        <f>3</f>
        <v>3</v>
      </c>
      <c r="J5" s="20"/>
      <c r="K5" s="21"/>
      <c r="L5" s="22">
        <f>2+14</f>
        <v>16</v>
      </c>
      <c r="M5" s="22">
        <f>28</f>
        <v>28</v>
      </c>
      <c r="N5" s="65"/>
      <c r="O5" s="23"/>
    </row>
    <row r="6" spans="1:22" s="7" customFormat="1">
      <c r="A6" s="24" t="s">
        <v>2</v>
      </c>
      <c r="B6" s="25">
        <f>110-30</f>
        <v>80</v>
      </c>
      <c r="C6" s="25"/>
      <c r="D6" s="26"/>
      <c r="E6" s="26"/>
      <c r="F6" s="26">
        <v>16</v>
      </c>
      <c r="G6" s="26">
        <f>20+11+110-4-3-1-10-3-1</f>
        <v>119</v>
      </c>
      <c r="H6" s="26">
        <f>20</f>
        <v>20</v>
      </c>
      <c r="I6" s="26">
        <f>43</f>
        <v>43</v>
      </c>
      <c r="J6" s="26"/>
      <c r="K6" s="27"/>
      <c r="L6" s="26">
        <f>36</f>
        <v>36</v>
      </c>
      <c r="M6" s="67">
        <f>70</f>
        <v>70</v>
      </c>
      <c r="N6" s="66"/>
      <c r="O6" s="23"/>
    </row>
    <row r="7" spans="1:22" s="7" customFormat="1">
      <c r="A7" s="24" t="s">
        <v>5</v>
      </c>
      <c r="B7" s="25">
        <f>10+140+20+120-10</f>
        <v>280</v>
      </c>
      <c r="C7" s="25">
        <v>10</v>
      </c>
      <c r="D7" s="26"/>
      <c r="E7" s="26"/>
      <c r="F7" s="26">
        <f>16-1</f>
        <v>15</v>
      </c>
      <c r="G7" s="26">
        <f>7+210-1-2-4-3-1</f>
        <v>206</v>
      </c>
      <c r="H7" s="26">
        <f>20+30</f>
        <v>50</v>
      </c>
      <c r="I7" s="26">
        <f>47</f>
        <v>47</v>
      </c>
      <c r="J7" s="26">
        <v>4</v>
      </c>
      <c r="K7" s="27"/>
      <c r="L7" s="26">
        <v>30</v>
      </c>
      <c r="M7" s="67">
        <f>55</f>
        <v>55</v>
      </c>
      <c r="N7" s="66"/>
      <c r="O7" s="23"/>
    </row>
    <row r="8" spans="1:22" s="7" customFormat="1" ht="15" customHeight="1">
      <c r="A8" s="28" t="s">
        <v>6</v>
      </c>
      <c r="B8" s="25">
        <f>220-23</f>
        <v>197</v>
      </c>
      <c r="C8" s="25">
        <v>10</v>
      </c>
      <c r="D8" s="26"/>
      <c r="E8" s="26"/>
      <c r="F8" s="26">
        <v>17</v>
      </c>
      <c r="G8" s="26">
        <f>5+110-2-1-3-1-24</f>
        <v>84</v>
      </c>
      <c r="H8" s="26">
        <f>19+30</f>
        <v>49</v>
      </c>
      <c r="I8" s="26">
        <f>21+34</f>
        <v>55</v>
      </c>
      <c r="J8" s="26"/>
      <c r="K8" s="27"/>
      <c r="L8" s="26">
        <v>42</v>
      </c>
      <c r="M8" s="67">
        <v>58</v>
      </c>
      <c r="N8" s="66"/>
      <c r="O8" s="23"/>
    </row>
    <row r="9" spans="1:22" s="7" customFormat="1">
      <c r="A9" s="24" t="s">
        <v>7</v>
      </c>
      <c r="B9" s="25">
        <f>100-40</f>
        <v>60</v>
      </c>
      <c r="C9" s="25"/>
      <c r="D9" s="26"/>
      <c r="E9" s="26"/>
      <c r="F9" s="26">
        <f>15-2-1</f>
        <v>12</v>
      </c>
      <c r="G9" s="26">
        <f>229-2-11-11-25-25</f>
        <v>155</v>
      </c>
      <c r="H9" s="26">
        <f>29</f>
        <v>29</v>
      </c>
      <c r="I9" s="26">
        <f>77</f>
        <v>77</v>
      </c>
      <c r="J9" s="26"/>
      <c r="K9" s="27"/>
      <c r="L9" s="26">
        <v>44</v>
      </c>
      <c r="M9" s="67">
        <f>66</f>
        <v>66</v>
      </c>
      <c r="N9" s="66"/>
      <c r="O9" s="23"/>
    </row>
    <row r="10" spans="1:22" s="7" customFormat="1">
      <c r="A10" s="24" t="s">
        <v>8</v>
      </c>
      <c r="B10" s="25"/>
      <c r="C10" s="25"/>
      <c r="D10" s="26"/>
      <c r="E10" s="26"/>
      <c r="F10" s="26">
        <v>4</v>
      </c>
      <c r="G10" s="26">
        <f>64-1-4-3-1</f>
        <v>55</v>
      </c>
      <c r="H10" s="26">
        <f>9</f>
        <v>9</v>
      </c>
      <c r="I10" s="26">
        <f>6</f>
        <v>6</v>
      </c>
      <c r="J10" s="26"/>
      <c r="K10" s="27"/>
      <c r="L10" s="26">
        <f>10+8</f>
        <v>18</v>
      </c>
      <c r="M10" s="67">
        <f>10</f>
        <v>10</v>
      </c>
      <c r="N10" s="66"/>
      <c r="O10" s="23"/>
    </row>
    <row r="11" spans="1:22" s="7" customFormat="1">
      <c r="A11" s="24" t="s">
        <v>9</v>
      </c>
      <c r="B11" s="25"/>
      <c r="C11" s="25"/>
      <c r="D11" s="26"/>
      <c r="E11" s="26"/>
      <c r="F11" s="26"/>
      <c r="G11" s="26">
        <f>18-2-6</f>
        <v>10</v>
      </c>
      <c r="H11" s="26">
        <f>10</f>
        <v>10</v>
      </c>
      <c r="I11" s="26">
        <f>6</f>
        <v>6</v>
      </c>
      <c r="J11" s="26"/>
      <c r="K11" s="27"/>
      <c r="L11" s="26">
        <v>8</v>
      </c>
      <c r="M11" s="67">
        <v>20</v>
      </c>
      <c r="N11" s="66"/>
      <c r="O11" s="23"/>
    </row>
    <row r="12" spans="1:22" s="7" customFormat="1">
      <c r="A12" s="24" t="s">
        <v>10</v>
      </c>
      <c r="B12" s="25">
        <f>120+70-30-20</f>
        <v>140</v>
      </c>
      <c r="C12" s="25">
        <v>10</v>
      </c>
      <c r="D12" s="26"/>
      <c r="E12" s="26"/>
      <c r="F12" s="26">
        <f>17-1</f>
        <v>16</v>
      </c>
      <c r="G12" s="26">
        <f>16+133-2-2</f>
        <v>145</v>
      </c>
      <c r="H12" s="26">
        <f>20+20</f>
        <v>40</v>
      </c>
      <c r="I12" s="26">
        <f>39</f>
        <v>39</v>
      </c>
      <c r="J12" s="26"/>
      <c r="K12" s="27"/>
      <c r="L12" s="26">
        <f>34+16</f>
        <v>50</v>
      </c>
      <c r="M12" s="67">
        <f>100</f>
        <v>100</v>
      </c>
      <c r="N12" s="66"/>
      <c r="O12" s="23"/>
    </row>
    <row r="13" spans="1:22" s="7" customFormat="1">
      <c r="A13" s="24" t="s">
        <v>12</v>
      </c>
      <c r="B13" s="25">
        <f>36+155</f>
        <v>191</v>
      </c>
      <c r="C13" s="25">
        <f>20-10</f>
        <v>10</v>
      </c>
      <c r="D13" s="26"/>
      <c r="E13" s="26"/>
      <c r="F13" s="26">
        <v>15</v>
      </c>
      <c r="G13" s="26">
        <f>143-7-2-11-1-3</f>
        <v>119</v>
      </c>
      <c r="H13" s="26">
        <f>10</f>
        <v>10</v>
      </c>
      <c r="I13" s="26">
        <f>7</f>
        <v>7</v>
      </c>
      <c r="J13" s="26"/>
      <c r="K13" s="27"/>
      <c r="L13" s="26">
        <f>36+16</f>
        <v>52</v>
      </c>
      <c r="M13" s="67">
        <f>60</f>
        <v>60</v>
      </c>
      <c r="N13" s="66"/>
      <c r="O13" s="23"/>
    </row>
    <row r="14" spans="1:22" s="7" customFormat="1">
      <c r="A14" s="24" t="s">
        <v>102</v>
      </c>
      <c r="B14" s="25"/>
      <c r="C14" s="25">
        <v>30</v>
      </c>
      <c r="D14" s="26"/>
      <c r="E14" s="26"/>
      <c r="F14" s="26">
        <f>42-1</f>
        <v>41</v>
      </c>
      <c r="G14" s="26">
        <f>424-12-13-16-16-5</f>
        <v>362</v>
      </c>
      <c r="H14" s="26">
        <f>30+20</f>
        <v>50</v>
      </c>
      <c r="I14" s="26">
        <f>74</f>
        <v>74</v>
      </c>
      <c r="J14" s="26"/>
      <c r="K14" s="27"/>
      <c r="L14" s="26">
        <f>226+32</f>
        <v>258</v>
      </c>
      <c r="M14" s="67">
        <f>220</f>
        <v>220</v>
      </c>
      <c r="N14" s="66"/>
      <c r="O14" s="23"/>
    </row>
    <row r="15" spans="1:22" s="7" customFormat="1">
      <c r="A15" s="24" t="s">
        <v>15</v>
      </c>
      <c r="B15" s="25">
        <f>55+170-10</f>
        <v>215</v>
      </c>
      <c r="C15" s="25">
        <v>10</v>
      </c>
      <c r="D15" s="26"/>
      <c r="E15" s="26"/>
      <c r="F15" s="26">
        <f>14-1</f>
        <v>13</v>
      </c>
      <c r="G15" s="26">
        <f>72-6-4-8-4-3</f>
        <v>47</v>
      </c>
      <c r="H15" s="26">
        <f>10+10</f>
        <v>20</v>
      </c>
      <c r="I15" s="26">
        <f>18</f>
        <v>18</v>
      </c>
      <c r="J15" s="26"/>
      <c r="K15" s="27">
        <f>20-10+20-10</f>
        <v>20</v>
      </c>
      <c r="L15" s="26">
        <v>42</v>
      </c>
      <c r="M15" s="67">
        <f>60</f>
        <v>60</v>
      </c>
      <c r="N15" s="66"/>
      <c r="O15" s="23"/>
    </row>
    <row r="16" spans="1:22" s="7" customFormat="1">
      <c r="A16" s="24" t="s">
        <v>16</v>
      </c>
      <c r="B16" s="25">
        <f>270-10</f>
        <v>260</v>
      </c>
      <c r="C16" s="25"/>
      <c r="D16" s="26"/>
      <c r="E16" s="26"/>
      <c r="F16" s="26">
        <f>16-1</f>
        <v>15</v>
      </c>
      <c r="G16" s="26">
        <f>75-5-4-3-3</f>
        <v>60</v>
      </c>
      <c r="H16" s="26">
        <f>5</f>
        <v>5</v>
      </c>
      <c r="I16" s="26">
        <f>42</f>
        <v>42</v>
      </c>
      <c r="J16" s="26"/>
      <c r="K16" s="27"/>
      <c r="L16" s="26">
        <v>32</v>
      </c>
      <c r="M16" s="67">
        <f>40</f>
        <v>40</v>
      </c>
      <c r="N16" s="66"/>
      <c r="O16" s="23"/>
    </row>
    <row r="17" spans="1:17" s="7" customFormat="1">
      <c r="A17" s="24" t="s">
        <v>18</v>
      </c>
      <c r="B17" s="25">
        <f>98</f>
        <v>98</v>
      </c>
      <c r="C17" s="25"/>
      <c r="D17" s="26"/>
      <c r="E17" s="26"/>
      <c r="F17" s="26">
        <v>6</v>
      </c>
      <c r="G17" s="26">
        <f>89-8-3-3-1</f>
        <v>74</v>
      </c>
      <c r="H17" s="26">
        <f>17</f>
        <v>17</v>
      </c>
      <c r="I17" s="26">
        <f>13+22</f>
        <v>35</v>
      </c>
      <c r="J17" s="26"/>
      <c r="K17" s="27"/>
      <c r="L17" s="26">
        <f>26+6</f>
        <v>32</v>
      </c>
      <c r="M17" s="67">
        <f>28</f>
        <v>28</v>
      </c>
      <c r="N17" s="66"/>
      <c r="O17" s="23"/>
    </row>
    <row r="18" spans="1:17" s="7" customFormat="1">
      <c r="A18" s="24" t="s">
        <v>20</v>
      </c>
      <c r="B18" s="25">
        <f>40+170-10</f>
        <v>200</v>
      </c>
      <c r="C18" s="25"/>
      <c r="D18" s="26"/>
      <c r="E18" s="26"/>
      <c r="F18" s="26">
        <f>14-1</f>
        <v>13</v>
      </c>
      <c r="G18" s="26">
        <f>40+20+131-40-4-1-1-1-3</f>
        <v>141</v>
      </c>
      <c r="H18" s="26">
        <f>17</f>
        <v>17</v>
      </c>
      <c r="I18" s="26">
        <f>27+13</f>
        <v>40</v>
      </c>
      <c r="J18" s="26"/>
      <c r="K18" s="27">
        <f>10+20+10-20-3-4</f>
        <v>13</v>
      </c>
      <c r="L18" s="26">
        <f>44+18</f>
        <v>62</v>
      </c>
      <c r="M18" s="67">
        <f>55</f>
        <v>55</v>
      </c>
      <c r="N18" s="66"/>
      <c r="O18" s="23"/>
    </row>
    <row r="19" spans="1:17" s="7" customFormat="1">
      <c r="A19" s="24" t="s">
        <v>21</v>
      </c>
      <c r="B19" s="25">
        <f>60+70-10</f>
        <v>120</v>
      </c>
      <c r="C19" s="25">
        <v>10</v>
      </c>
      <c r="D19" s="26"/>
      <c r="E19" s="69"/>
      <c r="F19" s="26">
        <v>15</v>
      </c>
      <c r="G19" s="26">
        <f>155-3-5-1-8</f>
        <v>138</v>
      </c>
      <c r="H19" s="26">
        <f>10+30</f>
        <v>40</v>
      </c>
      <c r="I19" s="26">
        <f>45</f>
        <v>45</v>
      </c>
      <c r="J19" s="26"/>
      <c r="K19" s="27">
        <f>10+10+20-1-10-9-10</f>
        <v>10</v>
      </c>
      <c r="L19" s="26">
        <v>20</v>
      </c>
      <c r="M19" s="67">
        <f>40</f>
        <v>40</v>
      </c>
      <c r="N19" s="66"/>
      <c r="O19" s="23"/>
    </row>
    <row r="20" spans="1:17" s="7" customFormat="1">
      <c r="A20" s="24" t="s">
        <v>22</v>
      </c>
      <c r="B20" s="25"/>
      <c r="C20" s="25"/>
      <c r="D20" s="26"/>
      <c r="E20" s="26"/>
      <c r="F20" s="26">
        <v>17</v>
      </c>
      <c r="G20" s="26">
        <f>94-1-1-10-1</f>
        <v>81</v>
      </c>
      <c r="H20" s="26">
        <f>20</f>
        <v>20</v>
      </c>
      <c r="I20" s="26">
        <f>23</f>
        <v>23</v>
      </c>
      <c r="J20" s="26"/>
      <c r="K20" s="27">
        <f>12+27-9+10-16-11-5</f>
        <v>8</v>
      </c>
      <c r="L20" s="26">
        <f>22+18</f>
        <v>40</v>
      </c>
      <c r="M20" s="67">
        <f>55</f>
        <v>55</v>
      </c>
      <c r="N20" s="66"/>
      <c r="O20" s="23"/>
    </row>
    <row r="21" spans="1:17" s="7" customFormat="1">
      <c r="A21" s="24" t="s">
        <v>23</v>
      </c>
      <c r="B21" s="25">
        <f>70-10</f>
        <v>60</v>
      </c>
      <c r="C21" s="25"/>
      <c r="D21" s="26"/>
      <c r="E21" s="69"/>
      <c r="F21" s="26">
        <v>11</v>
      </c>
      <c r="G21" s="26">
        <f>9+13+175-6-3-13-11-4-4</f>
        <v>156</v>
      </c>
      <c r="H21" s="26">
        <f>10</f>
        <v>10</v>
      </c>
      <c r="I21" s="26">
        <f>9</f>
        <v>9</v>
      </c>
      <c r="J21" s="26"/>
      <c r="K21" s="27">
        <f>20+20-2-20-8-6</f>
        <v>4</v>
      </c>
      <c r="L21" s="26">
        <f>22+22</f>
        <v>44</v>
      </c>
      <c r="M21" s="67">
        <f>50</f>
        <v>50</v>
      </c>
      <c r="N21" s="66"/>
      <c r="O21" s="23"/>
    </row>
    <row r="22" spans="1:17" s="7" customFormat="1">
      <c r="A22" s="24" t="s">
        <v>24</v>
      </c>
      <c r="B22" s="25">
        <f>80-50</f>
        <v>30</v>
      </c>
      <c r="C22" s="25"/>
      <c r="D22" s="26"/>
      <c r="E22" s="26"/>
      <c r="F22" s="26">
        <f>11-3</f>
        <v>8</v>
      </c>
      <c r="G22" s="26">
        <f>66-5-20-1-3-5</f>
        <v>32</v>
      </c>
      <c r="H22" s="26">
        <f>10</f>
        <v>10</v>
      </c>
      <c r="I22" s="26">
        <f>18</f>
        <v>18</v>
      </c>
      <c r="J22" s="26"/>
      <c r="K22" s="27">
        <f>10+10-10+10-10</f>
        <v>10</v>
      </c>
      <c r="L22" s="26">
        <f>14</f>
        <v>14</v>
      </c>
      <c r="M22" s="67">
        <f>30</f>
        <v>30</v>
      </c>
      <c r="N22" s="66"/>
      <c r="O22" s="23"/>
    </row>
    <row r="23" spans="1:17" s="7" customFormat="1">
      <c r="A23" s="24" t="s">
        <v>104</v>
      </c>
      <c r="B23" s="25">
        <f>77-8</f>
        <v>69</v>
      </c>
      <c r="C23" s="25">
        <f>37-13</f>
        <v>24</v>
      </c>
      <c r="D23" s="26"/>
      <c r="E23" s="26"/>
      <c r="F23" s="26">
        <v>35</v>
      </c>
      <c r="G23" s="26">
        <f>350-24-35-29-22-15</f>
        <v>225</v>
      </c>
      <c r="H23" s="26">
        <f>23+40</f>
        <v>63</v>
      </c>
      <c r="I23" s="26">
        <f>51</f>
        <v>51</v>
      </c>
      <c r="J23" s="26"/>
      <c r="K23" s="27">
        <f>10+60-36+40-10-24-24+800-14</f>
        <v>802</v>
      </c>
      <c r="L23" s="26">
        <f>46+60+430+106</f>
        <v>642</v>
      </c>
      <c r="M23" s="67">
        <f>250</f>
        <v>250</v>
      </c>
      <c r="N23" s="66"/>
      <c r="O23" s="23"/>
      <c r="Q23" s="7" t="s">
        <v>105</v>
      </c>
    </row>
    <row r="24" spans="1:17" s="7" customFormat="1">
      <c r="A24" s="24" t="s">
        <v>25</v>
      </c>
      <c r="B24" s="25">
        <f>100+110-10</f>
        <v>200</v>
      </c>
      <c r="C24" s="25"/>
      <c r="D24" s="26"/>
      <c r="E24" s="26"/>
      <c r="F24" s="26"/>
      <c r="G24" s="26">
        <f>6+3+35-6-3</f>
        <v>35</v>
      </c>
      <c r="H24" s="26">
        <f>10+10</f>
        <v>20</v>
      </c>
      <c r="I24" s="26">
        <v>10</v>
      </c>
      <c r="J24" s="26"/>
      <c r="K24" s="26"/>
      <c r="L24" s="26">
        <v>4</v>
      </c>
      <c r="M24" s="67">
        <f>10</f>
        <v>10</v>
      </c>
      <c r="N24" s="66"/>
      <c r="O24" s="23"/>
    </row>
    <row r="25" spans="1:17" s="7" customFormat="1" ht="15.75" thickBot="1">
      <c r="A25" s="29" t="s">
        <v>28</v>
      </c>
      <c r="B25" s="30">
        <f>160+50-30-50</f>
        <v>130</v>
      </c>
      <c r="C25" s="30">
        <v>10</v>
      </c>
      <c r="D25" s="31"/>
      <c r="E25" s="31"/>
      <c r="F25" s="31">
        <f>13-1</f>
        <v>12</v>
      </c>
      <c r="G25" s="31">
        <f>90-1-2-11-2</f>
        <v>74</v>
      </c>
      <c r="H25" s="31">
        <f>20</f>
        <v>20</v>
      </c>
      <c r="I25" s="31">
        <f>24</f>
        <v>24</v>
      </c>
      <c r="J25" s="31">
        <v>8</v>
      </c>
      <c r="K25" s="32">
        <f>10+20-5-20+20-5-10</f>
        <v>10</v>
      </c>
      <c r="L25" s="33">
        <v>18</v>
      </c>
      <c r="M25" s="33">
        <f>30</f>
        <v>30</v>
      </c>
      <c r="N25" s="64"/>
      <c r="O25" s="40"/>
    </row>
    <row r="26" spans="1:17" s="7" customFormat="1" ht="15.75" thickBot="1">
      <c r="A26" s="4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3"/>
      <c r="M26" s="33"/>
      <c r="N26" s="64"/>
      <c r="O26" s="23"/>
    </row>
    <row r="27" spans="1:17" ht="15.75" thickBot="1"/>
    <row r="28" spans="1:17" s="7" customFormat="1" ht="15.75" thickBot="1">
      <c r="B28" s="39">
        <f>SUM(B5:B25)</f>
        <v>2440</v>
      </c>
      <c r="C28" s="70">
        <f>SUM(C5:C25)</f>
        <v>124</v>
      </c>
      <c r="D28" s="39">
        <f t="shared" ref="D28:K28" si="0">SUM(D5:D25)</f>
        <v>0</v>
      </c>
      <c r="E28" s="39">
        <f t="shared" si="0"/>
        <v>0</v>
      </c>
      <c r="F28" s="39">
        <f t="shared" si="0"/>
        <v>288</v>
      </c>
      <c r="G28" s="39">
        <f t="shared" si="0"/>
        <v>2318</v>
      </c>
      <c r="H28" s="39">
        <f t="shared" si="0"/>
        <v>537</v>
      </c>
      <c r="I28" s="39">
        <f t="shared" si="0"/>
        <v>672</v>
      </c>
      <c r="J28" s="39">
        <f t="shared" si="0"/>
        <v>12</v>
      </c>
      <c r="K28" s="39">
        <f t="shared" si="0"/>
        <v>877</v>
      </c>
      <c r="L28" s="39">
        <f>SUM(L5:L25)</f>
        <v>1504</v>
      </c>
      <c r="M28" s="39">
        <f>SUM(M5:M25)</f>
        <v>1335</v>
      </c>
      <c r="N28" s="42"/>
      <c r="O28" s="17"/>
      <c r="P28" s="42">
        <f>SUM(B28:O28)</f>
        <v>10107</v>
      </c>
    </row>
  </sheetData>
  <mergeCells count="1">
    <mergeCell ref="B1:M1"/>
  </mergeCells>
  <pageMargins left="0.70866141732283472" right="2.08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Ліки (січ)</vt:lpstr>
      <vt:lpstr>Вакц (січ)</vt:lpstr>
      <vt:lpstr>Ліки (лют)</vt:lpstr>
      <vt:lpstr>Вакц (лют)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2020-03-02T23:50:43Z</dcterms:modified>
</cp:coreProperties>
</file>